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ADMIN\Desktop\website built\"/>
    </mc:Choice>
  </mc:AlternateContent>
  <xr:revisionPtr revIDLastSave="0" documentId="13_ncr:1_{12624F16-4353-4AB7-9F41-B0B6CF51E293}" xr6:coauthVersionLast="47" xr6:coauthVersionMax="47" xr10:uidLastSave="{00000000-0000-0000-0000-000000000000}"/>
  <bookViews>
    <workbookView xWindow="-7815" yWindow="5528" windowWidth="15390" windowHeight="9532" firstSheet="79" activeTab="82" xr2:uid="{00000000-000D-0000-FFFF-FFFF00000000}"/>
  </bookViews>
  <sheets>
    <sheet name="1st-Slab" sheetId="1" state="hidden" r:id="rId1"/>
    <sheet name="1st-Slab (1)" sheetId="9" state="hidden" r:id="rId2"/>
    <sheet name="B-101" sheetId="4" r:id="rId3"/>
    <sheet name="B-101a" sheetId="37" r:id="rId4"/>
    <sheet name="B-101b" sheetId="38" r:id="rId5"/>
    <sheet name="B-101c" sheetId="35" r:id="rId6"/>
    <sheet name="B-101d" sheetId="36" r:id="rId7"/>
    <sheet name="B-102" sheetId="2" r:id="rId8"/>
    <sheet name="B-102a" sheetId="32" r:id="rId9"/>
    <sheet name="B-102b" sheetId="33" r:id="rId10"/>
    <sheet name="B-102c" sheetId="34" r:id="rId11"/>
    <sheet name="B-103" sheetId="12" r:id="rId12"/>
    <sheet name="B-104" sheetId="11" r:id="rId13"/>
    <sheet name="2nd-Slab" sheetId="8" state="hidden" r:id="rId14"/>
    <sheet name="B-201" sheetId="13" r:id="rId15"/>
    <sheet name="B-202!" sheetId="5" state="hidden" r:id="rId16"/>
    <sheet name="B-202" sheetId="39" r:id="rId17"/>
    <sheet name="B-202a" sheetId="40" r:id="rId18"/>
    <sheet name="Sheet1" sheetId="89" r:id="rId19"/>
    <sheet name="B-202d" sheetId="41" state="hidden" r:id="rId20"/>
    <sheet name="B-202b" sheetId="42" r:id="rId21"/>
    <sheet name="B-202c" sheetId="43" r:id="rId22"/>
    <sheet name="B-202d " sheetId="44" r:id="rId23"/>
    <sheet name="B-203" sheetId="6" r:id="rId24"/>
    <sheet name="B-203a" sheetId="45" r:id="rId25"/>
    <sheet name="B-204" sheetId="7" r:id="rId26"/>
    <sheet name="B-204a" sheetId="74" r:id="rId27"/>
    <sheet name="B-205" sheetId="14" r:id="rId28"/>
    <sheet name="B-205a" sheetId="75" r:id="rId29"/>
    <sheet name="3rd-Slab" sheetId="10" state="hidden" r:id="rId30"/>
    <sheet name="B-206" sheetId="84" r:id="rId31"/>
    <sheet name="B-302" sheetId="15" r:id="rId32"/>
    <sheet name="B-302a" sheetId="52" r:id="rId33"/>
    <sheet name="B-302b" sheetId="51" state="hidden" r:id="rId34"/>
    <sheet name="B-303" sheetId="16" state="hidden" r:id="rId35"/>
    <sheet name="B-303a" sheetId="17" r:id="rId36"/>
    <sheet name="B-303a-1" sheetId="83" r:id="rId37"/>
    <sheet name="B-303b" sheetId="49" r:id="rId38"/>
    <sheet name="B-303c" sheetId="48" state="hidden" r:id="rId39"/>
    <sheet name="B-303c " sheetId="47" r:id="rId40"/>
    <sheet name="B-303d" sheetId="46" r:id="rId41"/>
    <sheet name="B-303e" sheetId="50" r:id="rId42"/>
    <sheet name="B-304" sheetId="18" r:id="rId43"/>
    <sheet name="B-304a" sheetId="78" r:id="rId44"/>
    <sheet name="B-305" sheetId="79" r:id="rId45"/>
    <sheet name="4th-Slab" sheetId="20" state="hidden" r:id="rId46"/>
    <sheet name="B-402" sheetId="21" r:id="rId47"/>
    <sheet name="B-402a" sheetId="54" state="hidden" r:id="rId48"/>
    <sheet name="B-402a " sheetId="53" r:id="rId49"/>
    <sheet name="B-402b" sheetId="55" r:id="rId50"/>
    <sheet name="B-403" sheetId="22" state="hidden" r:id="rId51"/>
    <sheet name="B-403 " sheetId="57" r:id="rId52"/>
    <sheet name=" B-403a" sheetId="24" r:id="rId53"/>
    <sheet name="B-403b" sheetId="58" r:id="rId54"/>
    <sheet name="B-403a-1" sheetId="86" state="hidden" r:id="rId55"/>
    <sheet name="B-403c" sheetId="59" r:id="rId56"/>
    <sheet name="B-403d" sheetId="61" r:id="rId57"/>
    <sheet name="B-404" sheetId="23" r:id="rId58"/>
    <sheet name="B-404a" sheetId="25" r:id="rId59"/>
    <sheet name="B-404a (L=4m)" sheetId="87" r:id="rId60"/>
    <sheet name="B-404a -1" sheetId="85" r:id="rId61"/>
    <sheet name="B-404a -1 (L=4m)" sheetId="88" r:id="rId62"/>
    <sheet name="B-404b" sheetId="62" r:id="rId63"/>
    <sheet name="B-405" sheetId="26" r:id="rId64"/>
    <sheet name="B-405a" sheetId="80" r:id="rId65"/>
    <sheet name="5th-Slab-OP1" sheetId="27" state="hidden" r:id="rId66"/>
    <sheet name="5th-Slab-OP2" sheetId="28" state="hidden" r:id="rId67"/>
    <sheet name="B-502" sheetId="29" state="hidden" r:id="rId68"/>
    <sheet name="B-502 " sheetId="66" r:id="rId69"/>
    <sheet name="B-502a" sheetId="63" r:id="rId70"/>
    <sheet name="B-502b" sheetId="65" r:id="rId71"/>
    <sheet name="B-502c" sheetId="64" r:id="rId72"/>
    <sheet name="B-503" sheetId="30" r:id="rId73"/>
    <sheet name="B-503a" sheetId="70" r:id="rId74"/>
    <sheet name="B-503b" sheetId="72" r:id="rId75"/>
    <sheet name="B-503c" sheetId="69" r:id="rId76"/>
    <sheet name="B-503d" sheetId="71" r:id="rId77"/>
    <sheet name="B-503e" sheetId="73" r:id="rId78"/>
    <sheet name="B-504" sheetId="31" r:id="rId79"/>
    <sheet name="B-504a" sheetId="81" r:id="rId80"/>
    <sheet name="B-504b" sheetId="82" r:id="rId81"/>
    <sheet name="B-504b (2)" sheetId="90" r:id="rId82"/>
    <sheet name="B-504b (3)" sheetId="91" r:id="rId83"/>
  </sheets>
  <definedNames>
    <definedName name="Moment" localSheetId="52">' B-403a'!$I$26</definedName>
    <definedName name="Moment" localSheetId="1">#REF!</definedName>
    <definedName name="Moment" localSheetId="13">#REF!</definedName>
    <definedName name="Moment" localSheetId="29">#REF!</definedName>
    <definedName name="Moment" localSheetId="45">#REF!</definedName>
    <definedName name="Moment" localSheetId="65">#REF!</definedName>
    <definedName name="Moment" localSheetId="66">#REF!</definedName>
    <definedName name="Moment" localSheetId="2">'B-101'!$I$26</definedName>
    <definedName name="Moment" localSheetId="3">'B-101a'!$I$26</definedName>
    <definedName name="Moment" localSheetId="4">'B-101b'!$I$26</definedName>
    <definedName name="Moment" localSheetId="5">'B-101c'!$I$26</definedName>
    <definedName name="Moment" localSheetId="6">'B-101d'!$I$26</definedName>
    <definedName name="Moment" localSheetId="7">'B-102'!$I$26</definedName>
    <definedName name="Moment" localSheetId="8">'B-102a'!$I$26</definedName>
    <definedName name="Moment" localSheetId="9">'B-102b'!$I$26</definedName>
    <definedName name="Moment" localSheetId="10">'B-102c'!$I$26</definedName>
    <definedName name="Moment" localSheetId="11">'B-103'!$I$26</definedName>
    <definedName name="Moment" localSheetId="12">'B-104'!$I$26</definedName>
    <definedName name="Moment" localSheetId="14">'B-201'!$I$26</definedName>
    <definedName name="Moment" localSheetId="16">'B-202'!$I$26</definedName>
    <definedName name="Moment" localSheetId="15">'B-202!'!$I$26</definedName>
    <definedName name="Moment" localSheetId="17">'B-202a'!$I$26</definedName>
    <definedName name="Moment" localSheetId="20">'B-202b'!$I$26</definedName>
    <definedName name="Moment" localSheetId="21">'B-202c'!$I$26</definedName>
    <definedName name="Moment" localSheetId="19">'B-202d'!$I$26</definedName>
    <definedName name="Moment" localSheetId="22">'B-202d '!$I$26</definedName>
    <definedName name="Moment" localSheetId="23">'B-203'!$I$26</definedName>
    <definedName name="Moment" localSheetId="24">'B-203a'!$I$26</definedName>
    <definedName name="Moment" localSheetId="25">'B-204'!$I$26</definedName>
    <definedName name="Moment" localSheetId="26">'B-204a'!$I$26</definedName>
    <definedName name="Moment" localSheetId="27">'B-205'!$I$26</definedName>
    <definedName name="Moment" localSheetId="28">'B-205a'!$I$26</definedName>
    <definedName name="Moment" localSheetId="30">'B-206'!$I$26</definedName>
    <definedName name="Moment" localSheetId="31">'B-302'!$I$26</definedName>
    <definedName name="Moment" localSheetId="32">'B-302a'!$I$26</definedName>
    <definedName name="Moment" localSheetId="33">'B-302b'!$I$26</definedName>
    <definedName name="Moment" localSheetId="34">'B-303'!$I$26</definedName>
    <definedName name="Moment" localSheetId="35">'B-303a'!$I$26</definedName>
    <definedName name="Moment" localSheetId="36">'B-303a-1'!$I$26</definedName>
    <definedName name="Moment" localSheetId="37">'B-303b'!$I$26</definedName>
    <definedName name="Moment" localSheetId="38">'B-303c'!$I$26</definedName>
    <definedName name="Moment" localSheetId="39">'B-303c '!$I$26</definedName>
    <definedName name="Moment" localSheetId="40">'B-303d'!$I$26</definedName>
    <definedName name="Moment" localSheetId="41">'B-303e'!$I$26</definedName>
    <definedName name="Moment" localSheetId="42">'B-304'!$I$26</definedName>
    <definedName name="Moment" localSheetId="43">'B-304a'!$I$26</definedName>
    <definedName name="Moment" localSheetId="44">'B-305'!$I$26</definedName>
    <definedName name="Moment" localSheetId="46">'B-402'!$I$26</definedName>
    <definedName name="Moment" localSheetId="47">'B-402a'!$I$26</definedName>
    <definedName name="Moment" localSheetId="48">'B-402a '!$I$26</definedName>
    <definedName name="Moment" localSheetId="49">'B-402b'!$I$26</definedName>
    <definedName name="Moment" localSheetId="50">'B-403'!$I$26</definedName>
    <definedName name="Moment" localSheetId="51">'B-403 '!$I$26</definedName>
    <definedName name="Moment" localSheetId="54">'B-403a-1'!$I$26</definedName>
    <definedName name="Moment" localSheetId="53">'B-403b'!$I$26</definedName>
    <definedName name="Moment" localSheetId="55">'B-403c'!$I$26</definedName>
    <definedName name="Moment" localSheetId="56">'B-403d'!$I$26</definedName>
    <definedName name="Moment" localSheetId="57">'B-404'!$I$26</definedName>
    <definedName name="Moment" localSheetId="58">'B-404a'!$I$26</definedName>
    <definedName name="Moment" localSheetId="59">'B-404a (L=4m)'!$I$26</definedName>
    <definedName name="Moment" localSheetId="60">'B-404a -1'!$I$26</definedName>
    <definedName name="Moment" localSheetId="61">'B-404a -1 (L=4m)'!$I$26</definedName>
    <definedName name="Moment" localSheetId="62">'B-404b'!$I$26</definedName>
    <definedName name="Moment" localSheetId="63">'B-405'!$I$26</definedName>
    <definedName name="Moment" localSheetId="64">'B-405a'!$I$26</definedName>
    <definedName name="Moment" localSheetId="67">'B-502'!$I$26</definedName>
    <definedName name="Moment" localSheetId="68">'B-502 '!$I$26</definedName>
    <definedName name="Moment" localSheetId="69">'B-502a'!$I$26</definedName>
    <definedName name="Moment" localSheetId="70">'B-502b'!$I$26</definedName>
    <definedName name="Moment" localSheetId="71">'B-502c'!$I$26</definedName>
    <definedName name="Moment" localSheetId="72">'B-503'!$I$26</definedName>
    <definedName name="Moment" localSheetId="73">'B-503a'!$I$26</definedName>
    <definedName name="Moment" localSheetId="74">'B-503b'!$I$26</definedName>
    <definedName name="Moment" localSheetId="75">'B-503c'!$I$26</definedName>
    <definedName name="Moment" localSheetId="76">'B-503d'!$I$26</definedName>
    <definedName name="Moment" localSheetId="77">'B-503e'!$I$26</definedName>
    <definedName name="Moment" localSheetId="78">'B-504'!$I$26</definedName>
    <definedName name="Moment" localSheetId="79">'B-504a'!$I$26</definedName>
    <definedName name="Moment" localSheetId="80">'B-504b'!$I$26</definedName>
    <definedName name="Moment" localSheetId="81">'B-504b (2)'!$I$26</definedName>
    <definedName name="Moment" localSheetId="82">'B-504b (3)'!$I$26</definedName>
    <definedName name="Moment">#REF!</definedName>
    <definedName name="solver_adj" localSheetId="8" hidden="1">'B-102a'!$B$21,'B-102a'!$C$21</definedName>
    <definedName name="solver_adj" localSheetId="9" hidden="1">'B-102b'!$B$21,'B-102b'!$C$21</definedName>
    <definedName name="solver_adj" localSheetId="10" hidden="1">'B-102c'!$B$21,'B-102c'!$C$21</definedName>
    <definedName name="solver_cvg" localSheetId="8" hidden="1">0.0001</definedName>
    <definedName name="solver_cvg" localSheetId="9" hidden="1">0.0001</definedName>
    <definedName name="solver_cvg" localSheetId="10" hidden="1">0.0001</definedName>
    <definedName name="solver_drv" localSheetId="8" hidden="1">2</definedName>
    <definedName name="solver_drv" localSheetId="9" hidden="1">2</definedName>
    <definedName name="solver_drv" localSheetId="10" hidden="1">2</definedName>
    <definedName name="solver_eng" localSheetId="8" hidden="1">1</definedName>
    <definedName name="solver_eng" localSheetId="9" hidden="1">1</definedName>
    <definedName name="solver_eng" localSheetId="10" hidden="1">1</definedName>
    <definedName name="solver_est" localSheetId="8" hidden="1">1</definedName>
    <definedName name="solver_est" localSheetId="9" hidden="1">1</definedName>
    <definedName name="solver_est" localSheetId="10" hidden="1">1</definedName>
    <definedName name="solver_itr" localSheetId="8" hidden="1">2147483647</definedName>
    <definedName name="solver_itr" localSheetId="9" hidden="1">2147483647</definedName>
    <definedName name="solver_itr" localSheetId="10" hidden="1">2147483647</definedName>
    <definedName name="solver_lhs1" localSheetId="8" hidden="1">'B-102a'!$F$21</definedName>
    <definedName name="solver_lhs1" localSheetId="9" hidden="1">'B-102b'!$F$21</definedName>
    <definedName name="solver_lhs1" localSheetId="10" hidden="1">'B-102c'!$F$21</definedName>
    <definedName name="solver_lhs2" localSheetId="8" hidden="1">'B-102a'!$G$21</definedName>
    <definedName name="solver_lhs2" localSheetId="9" hidden="1">'B-102b'!$G$21</definedName>
    <definedName name="solver_lhs2" localSheetId="10" hidden="1">'B-102c'!$G$21</definedName>
    <definedName name="solver_lhs3" localSheetId="8" hidden="1">'B-102a'!$G$21</definedName>
    <definedName name="solver_lhs3" localSheetId="9" hidden="1">'B-102b'!$G$21</definedName>
    <definedName name="solver_lhs3" localSheetId="10" hidden="1">'B-102c'!$G$21</definedName>
    <definedName name="solver_mip" localSheetId="8" hidden="1">2147483647</definedName>
    <definedName name="solver_mip" localSheetId="9" hidden="1">2147483647</definedName>
    <definedName name="solver_mip" localSheetId="10" hidden="1">2147483647</definedName>
    <definedName name="solver_mni" localSheetId="8" hidden="1">30</definedName>
    <definedName name="solver_mni" localSheetId="9" hidden="1">30</definedName>
    <definedName name="solver_mni" localSheetId="10" hidden="1">30</definedName>
    <definedName name="solver_mrt" localSheetId="8" hidden="1">0.075</definedName>
    <definedName name="solver_mrt" localSheetId="9" hidden="1">0.075</definedName>
    <definedName name="solver_mrt" localSheetId="10" hidden="1">0.075</definedName>
    <definedName name="solver_msl" localSheetId="8" hidden="1">2</definedName>
    <definedName name="solver_msl" localSheetId="9" hidden="1">2</definedName>
    <definedName name="solver_msl" localSheetId="10" hidden="1">2</definedName>
    <definedName name="solver_neg" localSheetId="8" hidden="1">1</definedName>
    <definedName name="solver_neg" localSheetId="9" hidden="1">1</definedName>
    <definedName name="solver_neg" localSheetId="10" hidden="1">1</definedName>
    <definedName name="solver_nod" localSheetId="8" hidden="1">2147483647</definedName>
    <definedName name="solver_nod" localSheetId="9" hidden="1">2147483647</definedName>
    <definedName name="solver_nod" localSheetId="10" hidden="1">2147483647</definedName>
    <definedName name="solver_num" localSheetId="8" hidden="1">2</definedName>
    <definedName name="solver_num" localSheetId="9" hidden="1">2</definedName>
    <definedName name="solver_num" localSheetId="10" hidden="1">2</definedName>
    <definedName name="solver_nwt" localSheetId="8" hidden="1">1</definedName>
    <definedName name="solver_nwt" localSheetId="9" hidden="1">1</definedName>
    <definedName name="solver_nwt" localSheetId="10" hidden="1">1</definedName>
    <definedName name="solver_opt" localSheetId="8" hidden="1">'B-102a'!$B$42</definedName>
    <definedName name="solver_opt" localSheetId="9" hidden="1">'B-102b'!$B$42</definedName>
    <definedName name="solver_opt" localSheetId="10" hidden="1">'B-102c'!$B$42</definedName>
    <definedName name="solver_pre" localSheetId="8" hidden="1">0.000001</definedName>
    <definedName name="solver_pre" localSheetId="9" hidden="1">0.000001</definedName>
    <definedName name="solver_pre" localSheetId="10" hidden="1">0.000001</definedName>
    <definedName name="solver_rbv" localSheetId="8" hidden="1">2</definedName>
    <definedName name="solver_rbv" localSheetId="9" hidden="1">2</definedName>
    <definedName name="solver_rbv" localSheetId="10" hidden="1">2</definedName>
    <definedName name="solver_rel1" localSheetId="8" hidden="1">3</definedName>
    <definedName name="solver_rel1" localSheetId="9" hidden="1">3</definedName>
    <definedName name="solver_rel1" localSheetId="10" hidden="1">3</definedName>
    <definedName name="solver_rel2" localSheetId="8" hidden="1">3</definedName>
    <definedName name="solver_rel2" localSheetId="9" hidden="1">3</definedName>
    <definedName name="solver_rel2" localSheetId="10" hidden="1">3</definedName>
    <definedName name="solver_rel3" localSheetId="8" hidden="1">3</definedName>
    <definedName name="solver_rel3" localSheetId="9" hidden="1">3</definedName>
    <definedName name="solver_rel3" localSheetId="10" hidden="1">3</definedName>
    <definedName name="solver_rhs1" localSheetId="8" hidden="1">1</definedName>
    <definedName name="solver_rhs1" localSheetId="9" hidden="1">1</definedName>
    <definedName name="solver_rhs1" localSheetId="10" hidden="1">1</definedName>
    <definedName name="solver_rhs2" localSheetId="8" hidden="1">1</definedName>
    <definedName name="solver_rhs2" localSheetId="9" hidden="1">1</definedName>
    <definedName name="solver_rhs2" localSheetId="10" hidden="1">1</definedName>
    <definedName name="solver_rhs3" localSheetId="8" hidden="1">1</definedName>
    <definedName name="solver_rhs3" localSheetId="9" hidden="1">1</definedName>
    <definedName name="solver_rhs3" localSheetId="10" hidden="1">1</definedName>
    <definedName name="solver_rlx" localSheetId="8" hidden="1">2</definedName>
    <definedName name="solver_rlx" localSheetId="9" hidden="1">2</definedName>
    <definedName name="solver_rlx" localSheetId="10" hidden="1">2</definedName>
    <definedName name="solver_rsd" localSheetId="8" hidden="1">0</definedName>
    <definedName name="solver_rsd" localSheetId="9" hidden="1">0</definedName>
    <definedName name="solver_rsd" localSheetId="10" hidden="1">0</definedName>
    <definedName name="solver_scl" localSheetId="8" hidden="1">2</definedName>
    <definedName name="solver_scl" localSheetId="9" hidden="1">2</definedName>
    <definedName name="solver_scl" localSheetId="10" hidden="1">2</definedName>
    <definedName name="solver_sho" localSheetId="8" hidden="1">2</definedName>
    <definedName name="solver_sho" localSheetId="9" hidden="1">2</definedName>
    <definedName name="solver_sho" localSheetId="10" hidden="1">2</definedName>
    <definedName name="solver_ssz" localSheetId="8" hidden="1">100</definedName>
    <definedName name="solver_ssz" localSheetId="9" hidden="1">100</definedName>
    <definedName name="solver_ssz" localSheetId="10" hidden="1">100</definedName>
    <definedName name="solver_tim" localSheetId="8" hidden="1">2147483647</definedName>
    <definedName name="solver_tim" localSheetId="9" hidden="1">2147483647</definedName>
    <definedName name="solver_tim" localSheetId="10" hidden="1">2147483647</definedName>
    <definedName name="solver_tol" localSheetId="8" hidden="1">0.01</definedName>
    <definedName name="solver_tol" localSheetId="9" hidden="1">0.01</definedName>
    <definedName name="solver_tol" localSheetId="10" hidden="1">0.01</definedName>
    <definedName name="solver_typ" localSheetId="8" hidden="1">3</definedName>
    <definedName name="solver_typ" localSheetId="9" hidden="1">3</definedName>
    <definedName name="solver_typ" localSheetId="10" hidden="1">3</definedName>
    <definedName name="solver_val" localSheetId="8" hidden="1">90</definedName>
    <definedName name="solver_val" localSheetId="9" hidden="1">90</definedName>
    <definedName name="solver_val" localSheetId="10" hidden="1">90</definedName>
    <definedName name="solver_ver" localSheetId="8" hidden="1">3</definedName>
    <definedName name="solver_ver" localSheetId="9" hidden="1">3</definedName>
    <definedName name="solver_ver" localSheetId="10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10" i="91" l="1"/>
  <c r="B28" i="91"/>
  <c r="B15" i="91" l="1"/>
  <c r="B42" i="91"/>
  <c r="F35" i="91"/>
  <c r="B33" i="91"/>
  <c r="F32" i="91"/>
  <c r="F31" i="91"/>
  <c r="F33" i="91" s="1"/>
  <c r="F24" i="91"/>
  <c r="C22" i="91"/>
  <c r="B22" i="91"/>
  <c r="F16" i="91" s="1"/>
  <c r="C17" i="91"/>
  <c r="B17" i="91"/>
  <c r="G15" i="91"/>
  <c r="F15" i="91"/>
  <c r="F8" i="91"/>
  <c r="F7" i="91"/>
  <c r="F10" i="91" s="1"/>
  <c r="F6" i="91"/>
  <c r="F5" i="91"/>
  <c r="B28" i="90"/>
  <c r="F28" i="90" s="1"/>
  <c r="B42" i="90"/>
  <c r="F35" i="90"/>
  <c r="B33" i="90"/>
  <c r="F32" i="90"/>
  <c r="F31" i="90"/>
  <c r="F33" i="90" s="1"/>
  <c r="F24" i="90"/>
  <c r="C22" i="90"/>
  <c r="B22" i="90"/>
  <c r="F16" i="90" s="1"/>
  <c r="F19" i="90" s="1"/>
  <c r="F20" i="90" s="1"/>
  <c r="F21" i="90" s="1"/>
  <c r="F22" i="90" s="1"/>
  <c r="C17" i="90"/>
  <c r="B17" i="90"/>
  <c r="G15" i="90"/>
  <c r="F15" i="90"/>
  <c r="B12" i="90"/>
  <c r="B24" i="90" s="1"/>
  <c r="B25" i="90" s="1"/>
  <c r="K10" i="90"/>
  <c r="F10" i="90"/>
  <c r="F8" i="90"/>
  <c r="F7" i="90"/>
  <c r="F6" i="90"/>
  <c r="F5" i="90"/>
  <c r="B15" i="90" s="1"/>
  <c r="B16" i="90" s="1"/>
  <c r="B18" i="90" s="1"/>
  <c r="B24" i="91" l="1"/>
  <c r="B25" i="91" s="1"/>
  <c r="F25" i="91" s="1"/>
  <c r="F28" i="91"/>
  <c r="F19" i="91"/>
  <c r="F20" i="91" s="1"/>
  <c r="F21" i="91" s="1"/>
  <c r="F22" i="91" s="1"/>
  <c r="C15" i="91"/>
  <c r="C16" i="91" s="1"/>
  <c r="C18" i="91" s="1"/>
  <c r="B16" i="91"/>
  <c r="B18" i="91" s="1"/>
  <c r="B19" i="91" s="1"/>
  <c r="B35" i="91"/>
  <c r="B36" i="91" s="1"/>
  <c r="F17" i="91"/>
  <c r="F18" i="91" s="1"/>
  <c r="G16" i="91"/>
  <c r="G17" i="91" s="1"/>
  <c r="G18" i="91" s="1"/>
  <c r="B32" i="91"/>
  <c r="B19" i="90"/>
  <c r="C15" i="90"/>
  <c r="C16" i="90" s="1"/>
  <c r="C18" i="90" s="1"/>
  <c r="B35" i="90"/>
  <c r="B36" i="90" s="1"/>
  <c r="C19" i="90"/>
  <c r="F25" i="90"/>
  <c r="D25" i="90"/>
  <c r="G16" i="90"/>
  <c r="G17" i="90" s="1"/>
  <c r="G18" i="90" s="1"/>
  <c r="B32" i="90"/>
  <c r="B26" i="90"/>
  <c r="F17" i="90"/>
  <c r="F18" i="90" s="1"/>
  <c r="B12" i="38"/>
  <c r="B26" i="91" l="1"/>
  <c r="B29" i="91" s="1"/>
  <c r="F29" i="91" s="1"/>
  <c r="D25" i="91"/>
  <c r="C19" i="91"/>
  <c r="B29" i="90"/>
  <c r="F29" i="90" s="1"/>
  <c r="B34" i="91"/>
  <c r="G19" i="91"/>
  <c r="G20" i="91" s="1"/>
  <c r="G21" i="91" s="1"/>
  <c r="G22" i="91" s="1"/>
  <c r="G19" i="90"/>
  <c r="G20" i="90" s="1"/>
  <c r="G21" i="90" s="1"/>
  <c r="G22" i="90" s="1"/>
  <c r="B34" i="90"/>
  <c r="F9" i="62"/>
  <c r="F8" i="62"/>
  <c r="F7" i="62"/>
  <c r="F6" i="62"/>
  <c r="F5" i="62"/>
  <c r="F9" i="23"/>
  <c r="F8" i="23"/>
  <c r="F7" i="23"/>
  <c r="F6" i="23"/>
  <c r="F5" i="23"/>
  <c r="D38" i="91" l="1"/>
  <c r="D39" i="91" s="1"/>
  <c r="C38" i="91"/>
  <c r="C39" i="91" s="1"/>
  <c r="C40" i="91" s="1"/>
  <c r="E38" i="91"/>
  <c r="E39" i="91" s="1"/>
  <c r="F38" i="91"/>
  <c r="F39" i="91" s="1"/>
  <c r="G38" i="91"/>
  <c r="G39" i="91" s="1"/>
  <c r="D38" i="90"/>
  <c r="D39" i="90" s="1"/>
  <c r="C38" i="90"/>
  <c r="C39" i="90" s="1"/>
  <c r="F38" i="90"/>
  <c r="F39" i="90" s="1"/>
  <c r="E38" i="90"/>
  <c r="E39" i="90" s="1"/>
  <c r="G38" i="90"/>
  <c r="G39" i="90" s="1"/>
  <c r="B42" i="88"/>
  <c r="F35" i="88"/>
  <c r="B33" i="88"/>
  <c r="F32" i="88"/>
  <c r="F31" i="88"/>
  <c r="F33" i="88" s="1"/>
  <c r="B28" i="88"/>
  <c r="C22" i="88"/>
  <c r="B22" i="88"/>
  <c r="F16" i="88" s="1"/>
  <c r="C17" i="88"/>
  <c r="B17" i="88"/>
  <c r="G15" i="88"/>
  <c r="F15" i="88"/>
  <c r="B12" i="88"/>
  <c r="B24" i="88" s="1"/>
  <c r="B25" i="88" s="1"/>
  <c r="K10" i="88"/>
  <c r="F9" i="88"/>
  <c r="F24" i="88" s="1"/>
  <c r="F8" i="88"/>
  <c r="F7" i="88"/>
  <c r="F10" i="88" s="1"/>
  <c r="F6" i="88"/>
  <c r="C15" i="88" s="1"/>
  <c r="C16" i="88" s="1"/>
  <c r="C18" i="88" s="1"/>
  <c r="F5" i="88"/>
  <c r="B42" i="87"/>
  <c r="F35" i="87"/>
  <c r="B33" i="87"/>
  <c r="F32" i="87"/>
  <c r="F31" i="87"/>
  <c r="F33" i="87" s="1"/>
  <c r="B28" i="87"/>
  <c r="C22" i="87"/>
  <c r="B22" i="87"/>
  <c r="F16" i="87" s="1"/>
  <c r="C17" i="87"/>
  <c r="B17" i="87"/>
  <c r="G15" i="87"/>
  <c r="F15" i="87"/>
  <c r="B12" i="87"/>
  <c r="B24" i="87" s="1"/>
  <c r="B25" i="87" s="1"/>
  <c r="K10" i="87"/>
  <c r="F9" i="87"/>
  <c r="F24" i="87" s="1"/>
  <c r="F8" i="87"/>
  <c r="F7" i="87"/>
  <c r="F6" i="87"/>
  <c r="F5" i="87"/>
  <c r="F19" i="87" l="1"/>
  <c r="F20" i="87" s="1"/>
  <c r="F21" i="87" s="1"/>
  <c r="F22" i="87" s="1"/>
  <c r="B15" i="88"/>
  <c r="B16" i="88" s="1"/>
  <c r="F40" i="91"/>
  <c r="G40" i="91" s="1"/>
  <c r="D40" i="91"/>
  <c r="E40" i="91" s="1"/>
  <c r="C40" i="90"/>
  <c r="F40" i="90"/>
  <c r="D40" i="90"/>
  <c r="E40" i="90" s="1"/>
  <c r="B18" i="88"/>
  <c r="B19" i="88" s="1"/>
  <c r="F17" i="88"/>
  <c r="F10" i="87"/>
  <c r="C19" i="88"/>
  <c r="B15" i="87"/>
  <c r="B16" i="87" s="1"/>
  <c r="B18" i="87" s="1"/>
  <c r="B19" i="87" s="1"/>
  <c r="F28" i="87"/>
  <c r="C15" i="87"/>
  <c r="C16" i="87" s="1"/>
  <c r="C18" i="87" s="1"/>
  <c r="C19" i="87" s="1"/>
  <c r="F28" i="88"/>
  <c r="B35" i="88"/>
  <c r="B36" i="88" s="1"/>
  <c r="B35" i="87"/>
  <c r="B36" i="87" s="1"/>
  <c r="F25" i="88"/>
  <c r="D25" i="88"/>
  <c r="B26" i="88"/>
  <c r="B29" i="88" s="1"/>
  <c r="F18" i="88"/>
  <c r="F19" i="88"/>
  <c r="F20" i="88" s="1"/>
  <c r="F21" i="88" s="1"/>
  <c r="F22" i="88" s="1"/>
  <c r="G16" i="88"/>
  <c r="G17" i="88" s="1"/>
  <c r="G18" i="88" s="1"/>
  <c r="B32" i="88"/>
  <c r="F25" i="87"/>
  <c r="D25" i="87"/>
  <c r="B26" i="87"/>
  <c r="B29" i="87" s="1"/>
  <c r="F29" i="87" s="1"/>
  <c r="F17" i="87"/>
  <c r="F18" i="87" s="1"/>
  <c r="G16" i="87"/>
  <c r="G17" i="87" s="1"/>
  <c r="G18" i="87" s="1"/>
  <c r="B32" i="87"/>
  <c r="F9" i="85"/>
  <c r="F8" i="85"/>
  <c r="F6" i="85"/>
  <c r="F5" i="85"/>
  <c r="F7" i="85"/>
  <c r="F8" i="31"/>
  <c r="F7" i="31"/>
  <c r="F5" i="31"/>
  <c r="B41" i="91" l="1"/>
  <c r="D41" i="91" s="1"/>
  <c r="G40" i="90"/>
  <c r="B41" i="90" s="1"/>
  <c r="D41" i="90" s="1"/>
  <c r="F29" i="88"/>
  <c r="G19" i="87"/>
  <c r="G20" i="87" s="1"/>
  <c r="G21" i="87" s="1"/>
  <c r="G22" i="87" s="1"/>
  <c r="G19" i="88"/>
  <c r="G20" i="88" s="1"/>
  <c r="G21" i="88" s="1"/>
  <c r="G22" i="88" s="1"/>
  <c r="B34" i="88"/>
  <c r="B34" i="87"/>
  <c r="F9" i="25"/>
  <c r="F8" i="25"/>
  <c r="F7" i="25"/>
  <c r="F5" i="25"/>
  <c r="F6" i="25"/>
  <c r="D38" i="88" l="1"/>
  <c r="D39" i="88" s="1"/>
  <c r="C38" i="88"/>
  <c r="C39" i="88" s="1"/>
  <c r="F38" i="88"/>
  <c r="F39" i="88" s="1"/>
  <c r="E38" i="88"/>
  <c r="E39" i="88" s="1"/>
  <c r="G38" i="88"/>
  <c r="G39" i="88"/>
  <c r="D38" i="87"/>
  <c r="D39" i="87" s="1"/>
  <c r="C38" i="87"/>
  <c r="C39" i="87" s="1"/>
  <c r="F38" i="87"/>
  <c r="E38" i="87"/>
  <c r="E39" i="87" s="1"/>
  <c r="G38" i="87"/>
  <c r="G39" i="87" s="1"/>
  <c r="F39" i="87"/>
  <c r="F9" i="86"/>
  <c r="F24" i="86" s="1"/>
  <c r="F8" i="86"/>
  <c r="F7" i="86"/>
  <c r="F6" i="86"/>
  <c r="F5" i="86"/>
  <c r="B42" i="86"/>
  <c r="F35" i="86"/>
  <c r="B33" i="86"/>
  <c r="F32" i="86"/>
  <c r="F31" i="86"/>
  <c r="F33" i="86" s="1"/>
  <c r="B28" i="86"/>
  <c r="C22" i="86"/>
  <c r="B22" i="86"/>
  <c r="F16" i="86" s="1"/>
  <c r="C17" i="86"/>
  <c r="B17" i="86"/>
  <c r="G15" i="86"/>
  <c r="F15" i="86"/>
  <c r="B11" i="86"/>
  <c r="B12" i="86" s="1"/>
  <c r="B28" i="25"/>
  <c r="B28" i="85"/>
  <c r="C22" i="85"/>
  <c r="F24" i="85"/>
  <c r="B42" i="85"/>
  <c r="F35" i="85"/>
  <c r="B33" i="85"/>
  <c r="F32" i="85"/>
  <c r="F31" i="85"/>
  <c r="F33" i="85" s="1"/>
  <c r="B22" i="85"/>
  <c r="C17" i="85"/>
  <c r="B17" i="85"/>
  <c r="G15" i="85"/>
  <c r="F15" i="85"/>
  <c r="B12" i="85"/>
  <c r="B24" i="85" s="1"/>
  <c r="B25" i="85" s="1"/>
  <c r="F17" i="86" l="1"/>
  <c r="C40" i="88"/>
  <c r="D40" i="88"/>
  <c r="F40" i="88"/>
  <c r="G40" i="88" s="1"/>
  <c r="C40" i="87"/>
  <c r="F40" i="87"/>
  <c r="D40" i="87"/>
  <c r="B24" i="86"/>
  <c r="B25" i="86" s="1"/>
  <c r="B15" i="86"/>
  <c r="B16" i="86" s="1"/>
  <c r="B18" i="86" s="1"/>
  <c r="K10" i="86"/>
  <c r="B32" i="86"/>
  <c r="C15" i="86"/>
  <c r="C16" i="86" s="1"/>
  <c r="C18" i="86" s="1"/>
  <c r="F19" i="86"/>
  <c r="F20" i="86" s="1"/>
  <c r="F21" i="86" s="1"/>
  <c r="F22" i="86" s="1"/>
  <c r="F18" i="86"/>
  <c r="F28" i="86"/>
  <c r="B35" i="86"/>
  <c r="B36" i="86" s="1"/>
  <c r="G16" i="86"/>
  <c r="G17" i="86" s="1"/>
  <c r="G18" i="86" s="1"/>
  <c r="F10" i="86"/>
  <c r="K10" i="85"/>
  <c r="B15" i="85"/>
  <c r="B16" i="85" s="1"/>
  <c r="B18" i="85" s="1"/>
  <c r="C15" i="85"/>
  <c r="C16" i="85" s="1"/>
  <c r="C18" i="85" s="1"/>
  <c r="F28" i="85"/>
  <c r="B35" i="85"/>
  <c r="B36" i="85" s="1"/>
  <c r="F25" i="85"/>
  <c r="D25" i="85"/>
  <c r="B26" i="85"/>
  <c r="B29" i="85" s="1"/>
  <c r="F29" i="85" s="1"/>
  <c r="F10" i="85"/>
  <c r="F16" i="85"/>
  <c r="F17" i="85" s="1"/>
  <c r="F18" i="85" s="1"/>
  <c r="G16" i="85"/>
  <c r="G17" i="85" s="1"/>
  <c r="G18" i="85" s="1"/>
  <c r="B32" i="85"/>
  <c r="B34" i="85" s="1"/>
  <c r="G38" i="85" s="1"/>
  <c r="B28" i="49"/>
  <c r="F8" i="84"/>
  <c r="F7" i="84"/>
  <c r="F6" i="84"/>
  <c r="F5" i="84"/>
  <c r="F35" i="84"/>
  <c r="B33" i="84"/>
  <c r="F32" i="84"/>
  <c r="F31" i="84"/>
  <c r="F33" i="84" s="1"/>
  <c r="B28" i="84"/>
  <c r="F24" i="84"/>
  <c r="C22" i="84"/>
  <c r="B22" i="84"/>
  <c r="F16" i="84" s="1"/>
  <c r="C17" i="84"/>
  <c r="B17" i="84"/>
  <c r="G15" i="84"/>
  <c r="F15" i="84"/>
  <c r="B12" i="84"/>
  <c r="B24" i="84" s="1"/>
  <c r="B42" i="84"/>
  <c r="B28" i="82"/>
  <c r="B28" i="81"/>
  <c r="F9" i="73"/>
  <c r="F6" i="73"/>
  <c r="F8" i="73"/>
  <c r="F7" i="73"/>
  <c r="B28" i="31"/>
  <c r="B28" i="73"/>
  <c r="B12" i="73"/>
  <c r="F8" i="71"/>
  <c r="F6" i="71"/>
  <c r="F5" i="71"/>
  <c r="B28" i="71"/>
  <c r="C22" i="69"/>
  <c r="B28" i="69"/>
  <c r="B28" i="72"/>
  <c r="C22" i="72"/>
  <c r="B12" i="72"/>
  <c r="B28" i="70"/>
  <c r="B12" i="70"/>
  <c r="B28" i="30"/>
  <c r="B28" i="66"/>
  <c r="B12" i="64"/>
  <c r="B28" i="65"/>
  <c r="B28" i="63"/>
  <c r="B12" i="63"/>
  <c r="F17" i="84" l="1"/>
  <c r="B26" i="86"/>
  <c r="B29" i="86" s="1"/>
  <c r="F29" i="86" s="1"/>
  <c r="B19" i="85"/>
  <c r="F28" i="84"/>
  <c r="B15" i="84"/>
  <c r="B16" i="84" s="1"/>
  <c r="B18" i="84" s="1"/>
  <c r="K10" i="84"/>
  <c r="C19" i="85"/>
  <c r="E40" i="88"/>
  <c r="B41" i="88" s="1"/>
  <c r="D41" i="88" s="1"/>
  <c r="G40" i="87"/>
  <c r="E40" i="87"/>
  <c r="B19" i="86"/>
  <c r="C19" i="86"/>
  <c r="G19" i="86"/>
  <c r="G20" i="86" s="1"/>
  <c r="G21" i="86" s="1"/>
  <c r="G22" i="86" s="1"/>
  <c r="B34" i="86"/>
  <c r="F25" i="86"/>
  <c r="D25" i="86"/>
  <c r="D38" i="85"/>
  <c r="D39" i="85" s="1"/>
  <c r="C38" i="85"/>
  <c r="C39" i="85" s="1"/>
  <c r="D40" i="85" s="1"/>
  <c r="F38" i="85"/>
  <c r="F39" i="85" s="1"/>
  <c r="E38" i="85"/>
  <c r="E39" i="85" s="1"/>
  <c r="G39" i="85"/>
  <c r="G19" i="85"/>
  <c r="G20" i="85" s="1"/>
  <c r="G21" i="85" s="1"/>
  <c r="G22" i="85" s="1"/>
  <c r="F19" i="85"/>
  <c r="F20" i="85" s="1"/>
  <c r="F21" i="85" s="1"/>
  <c r="F22" i="85" s="1"/>
  <c r="B35" i="84"/>
  <c r="B36" i="84" s="1"/>
  <c r="C15" i="84"/>
  <c r="C16" i="84" s="1"/>
  <c r="C18" i="84" s="1"/>
  <c r="C19" i="84" s="1"/>
  <c r="B29" i="84"/>
  <c r="B26" i="84"/>
  <c r="B25" i="84"/>
  <c r="B19" i="84"/>
  <c r="F18" i="84"/>
  <c r="F19" i="84"/>
  <c r="F20" i="84" s="1"/>
  <c r="F21" i="84" s="1"/>
  <c r="F22" i="84" s="1"/>
  <c r="F10" i="84"/>
  <c r="G16" i="84"/>
  <c r="G17" i="84" s="1"/>
  <c r="G18" i="84" s="1"/>
  <c r="B32" i="84"/>
  <c r="B12" i="82"/>
  <c r="B12" i="81"/>
  <c r="B12" i="31"/>
  <c r="L33" i="31"/>
  <c r="B28" i="62"/>
  <c r="H40" i="62"/>
  <c r="H35" i="62"/>
  <c r="B12" i="25"/>
  <c r="B28" i="23"/>
  <c r="B28" i="61"/>
  <c r="K28" i="61"/>
  <c r="J28" i="61"/>
  <c r="J23" i="61"/>
  <c r="B12" i="61"/>
  <c r="F29" i="84" l="1"/>
  <c r="L28" i="61"/>
  <c r="B41" i="87"/>
  <c r="D41" i="87" s="1"/>
  <c r="D38" i="86"/>
  <c r="D39" i="86" s="1"/>
  <c r="C38" i="86"/>
  <c r="C39" i="86" s="1"/>
  <c r="F38" i="86"/>
  <c r="F39" i="86" s="1"/>
  <c r="E38" i="86"/>
  <c r="E39" i="86" s="1"/>
  <c r="G38" i="86"/>
  <c r="G39" i="86" s="1"/>
  <c r="F40" i="85"/>
  <c r="C40" i="85"/>
  <c r="E40" i="85" s="1"/>
  <c r="B34" i="84"/>
  <c r="F25" i="84"/>
  <c r="D25" i="84"/>
  <c r="G19" i="84"/>
  <c r="G20" i="84" s="1"/>
  <c r="G21" i="84" s="1"/>
  <c r="G22" i="84" s="1"/>
  <c r="B28" i="59"/>
  <c r="B12" i="59"/>
  <c r="B12" i="57"/>
  <c r="B28" i="58"/>
  <c r="F5" i="58"/>
  <c r="B28" i="24"/>
  <c r="F6" i="24"/>
  <c r="F7" i="24"/>
  <c r="F8" i="24"/>
  <c r="B28" i="17"/>
  <c r="F9" i="24"/>
  <c r="F5" i="24"/>
  <c r="B28" i="55"/>
  <c r="F6" i="21"/>
  <c r="F5" i="21"/>
  <c r="B28" i="21"/>
  <c r="B12" i="21"/>
  <c r="C40" i="86" l="1"/>
  <c r="F40" i="86"/>
  <c r="D40" i="86"/>
  <c r="G40" i="85"/>
  <c r="D38" i="84"/>
  <c r="D39" i="84" s="1"/>
  <c r="E38" i="84"/>
  <c r="E39" i="84" s="1"/>
  <c r="C38" i="84"/>
  <c r="C39" i="84" s="1"/>
  <c r="F38" i="84"/>
  <c r="F39" i="84" s="1"/>
  <c r="G38" i="84"/>
  <c r="G39" i="84" s="1"/>
  <c r="F9" i="50"/>
  <c r="B28" i="50"/>
  <c r="F8" i="50"/>
  <c r="F7" i="50"/>
  <c r="F6" i="50"/>
  <c r="F5" i="50"/>
  <c r="B12" i="50"/>
  <c r="B28" i="46"/>
  <c r="B12" i="46"/>
  <c r="B28" i="47"/>
  <c r="F8" i="49"/>
  <c r="F7" i="49"/>
  <c r="F6" i="49"/>
  <c r="F5" i="49"/>
  <c r="B41" i="85" l="1"/>
  <c r="D41" i="85" s="1"/>
  <c r="E40" i="86"/>
  <c r="G40" i="86"/>
  <c r="F40" i="84"/>
  <c r="C40" i="84"/>
  <c r="D40" i="84"/>
  <c r="B28" i="83"/>
  <c r="I30" i="83"/>
  <c r="I34" i="83"/>
  <c r="F9" i="83"/>
  <c r="F24" i="83" s="1"/>
  <c r="F8" i="83"/>
  <c r="F7" i="83"/>
  <c r="F6" i="83"/>
  <c r="F5" i="83"/>
  <c r="B42" i="83"/>
  <c r="F35" i="83"/>
  <c r="B33" i="83"/>
  <c r="F32" i="83"/>
  <c r="F31" i="83"/>
  <c r="F33" i="83" s="1"/>
  <c r="C22" i="83"/>
  <c r="B22" i="83"/>
  <c r="F16" i="83" s="1"/>
  <c r="C17" i="83"/>
  <c r="B17" i="83"/>
  <c r="G15" i="83"/>
  <c r="F15" i="83"/>
  <c r="B12" i="83"/>
  <c r="B24" i="83" s="1"/>
  <c r="B25" i="83" s="1"/>
  <c r="B28" i="37"/>
  <c r="F9" i="17"/>
  <c r="F6" i="17"/>
  <c r="F5" i="17"/>
  <c r="F7" i="52"/>
  <c r="F5" i="52"/>
  <c r="F6" i="52"/>
  <c r="B28" i="52"/>
  <c r="B12" i="17"/>
  <c r="B28" i="15"/>
  <c r="B12" i="15"/>
  <c r="B12" i="75"/>
  <c r="B28" i="74"/>
  <c r="B12" i="45"/>
  <c r="B12" i="6"/>
  <c r="B28" i="44"/>
  <c r="J39" i="44"/>
  <c r="I39" i="44"/>
  <c r="K39" i="44" s="1"/>
  <c r="B12" i="44"/>
  <c r="F7" i="44"/>
  <c r="F6" i="44"/>
  <c r="F5" i="44"/>
  <c r="F9" i="43"/>
  <c r="B28" i="43"/>
  <c r="F7" i="43"/>
  <c r="F6" i="43"/>
  <c r="F5" i="43"/>
  <c r="F8" i="40"/>
  <c r="F7" i="40"/>
  <c r="F5" i="40"/>
  <c r="F6" i="40"/>
  <c r="B28" i="40"/>
  <c r="B12" i="40"/>
  <c r="B28" i="39"/>
  <c r="F17" i="83" l="1"/>
  <c r="B41" i="86"/>
  <c r="D41" i="86" s="1"/>
  <c r="E40" i="84"/>
  <c r="G40" i="84"/>
  <c r="K10" i="83"/>
  <c r="I31" i="83" s="1"/>
  <c r="F28" i="83"/>
  <c r="C15" i="83"/>
  <c r="C16" i="83" s="1"/>
  <c r="C18" i="83" s="1"/>
  <c r="B35" i="83"/>
  <c r="B36" i="83" s="1"/>
  <c r="B15" i="83"/>
  <c r="B16" i="83" s="1"/>
  <c r="B18" i="83" s="1"/>
  <c r="B19" i="83" s="1"/>
  <c r="F10" i="83"/>
  <c r="F25" i="83"/>
  <c r="D25" i="83"/>
  <c r="F18" i="83"/>
  <c r="F19" i="83"/>
  <c r="F20" i="83" s="1"/>
  <c r="F21" i="83" s="1"/>
  <c r="F22" i="83" s="1"/>
  <c r="G16" i="83"/>
  <c r="G17" i="83" s="1"/>
  <c r="G18" i="83" s="1"/>
  <c r="B32" i="83"/>
  <c r="B34" i="83" s="1"/>
  <c r="B26" i="83"/>
  <c r="B29" i="83" s="1"/>
  <c r="B28" i="34"/>
  <c r="B12" i="34"/>
  <c r="B12" i="33"/>
  <c r="B28" i="32"/>
  <c r="B12" i="32"/>
  <c r="B28" i="2"/>
  <c r="B28" i="35"/>
  <c r="B28" i="38"/>
  <c r="B28" i="4"/>
  <c r="B12" i="37"/>
  <c r="F9" i="74"/>
  <c r="F8" i="74"/>
  <c r="F7" i="74"/>
  <c r="F5" i="74"/>
  <c r="F6" i="74"/>
  <c r="B12" i="4"/>
  <c r="B12" i="7"/>
  <c r="B12" i="74"/>
  <c r="B41" i="84" l="1"/>
  <c r="D41" i="84" s="1"/>
  <c r="C19" i="83"/>
  <c r="F29" i="83"/>
  <c r="D38" i="83"/>
  <c r="D39" i="83" s="1"/>
  <c r="C38" i="83"/>
  <c r="C39" i="83" s="1"/>
  <c r="F38" i="83"/>
  <c r="E38" i="83"/>
  <c r="G38" i="83"/>
  <c r="G39" i="83" s="1"/>
  <c r="G19" i="83"/>
  <c r="G20" i="83" s="1"/>
  <c r="G21" i="83" s="1"/>
  <c r="G22" i="83" s="1"/>
  <c r="F39" i="83"/>
  <c r="E39" i="83"/>
  <c r="B11" i="2"/>
  <c r="B12" i="2" s="1"/>
  <c r="C40" i="83" l="1"/>
  <c r="F40" i="83"/>
  <c r="D40" i="83"/>
  <c r="F5" i="38"/>
  <c r="B11" i="36"/>
  <c r="B12" i="36" s="1"/>
  <c r="G40" i="83" l="1"/>
  <c r="E40" i="83"/>
  <c r="B22" i="4"/>
  <c r="F7" i="82"/>
  <c r="F9" i="82"/>
  <c r="F24" i="82" s="1"/>
  <c r="F8" i="82"/>
  <c r="F6" i="82"/>
  <c r="F5" i="82"/>
  <c r="B42" i="82"/>
  <c r="F35" i="82"/>
  <c r="B33" i="82"/>
  <c r="F32" i="82"/>
  <c r="F31" i="82"/>
  <c r="F33" i="82" s="1"/>
  <c r="B24" i="82"/>
  <c r="B25" i="82" s="1"/>
  <c r="C22" i="82"/>
  <c r="B22" i="82"/>
  <c r="C17" i="82"/>
  <c r="B17" i="82"/>
  <c r="G15" i="82"/>
  <c r="F15" i="82"/>
  <c r="B32" i="82"/>
  <c r="K10" i="82"/>
  <c r="F9" i="81"/>
  <c r="F24" i="81" s="1"/>
  <c r="F8" i="81"/>
  <c r="F7" i="81"/>
  <c r="F5" i="81"/>
  <c r="F6" i="81"/>
  <c r="B42" i="81"/>
  <c r="F35" i="81"/>
  <c r="B33" i="81"/>
  <c r="F32" i="81"/>
  <c r="F31" i="81"/>
  <c r="F33" i="81" s="1"/>
  <c r="B24" i="81"/>
  <c r="B25" i="81" s="1"/>
  <c r="C22" i="81"/>
  <c r="B22" i="81"/>
  <c r="C17" i="81"/>
  <c r="B17" i="81"/>
  <c r="G15" i="81"/>
  <c r="F15" i="81"/>
  <c r="B32" i="81"/>
  <c r="F9" i="31"/>
  <c r="F6" i="31"/>
  <c r="B41" i="83" l="1"/>
  <c r="D41" i="83" s="1"/>
  <c r="C15" i="82"/>
  <c r="C16" i="82" s="1"/>
  <c r="C18" i="82" s="1"/>
  <c r="C19" i="82" s="1"/>
  <c r="B35" i="82"/>
  <c r="B36" i="82" s="1"/>
  <c r="F28" i="82"/>
  <c r="B15" i="82"/>
  <c r="B16" i="82" s="1"/>
  <c r="B18" i="82" s="1"/>
  <c r="B19" i="82" s="1"/>
  <c r="F10" i="82"/>
  <c r="D25" i="82"/>
  <c r="F25" i="82"/>
  <c r="B26" i="82"/>
  <c r="B29" i="82" s="1"/>
  <c r="B34" i="82"/>
  <c r="F16" i="82"/>
  <c r="F17" i="82" s="1"/>
  <c r="F18" i="82" s="1"/>
  <c r="G16" i="82"/>
  <c r="G17" i="82" s="1"/>
  <c r="G18" i="82" s="1"/>
  <c r="B15" i="81"/>
  <c r="B16" i="81" s="1"/>
  <c r="B18" i="81" s="1"/>
  <c r="K10" i="81"/>
  <c r="F28" i="81"/>
  <c r="C15" i="81"/>
  <c r="C16" i="81" s="1"/>
  <c r="C18" i="81" s="1"/>
  <c r="B35" i="81"/>
  <c r="B36" i="81" s="1"/>
  <c r="F10" i="81"/>
  <c r="B34" i="81"/>
  <c r="G38" i="81" s="1"/>
  <c r="D25" i="81"/>
  <c r="F25" i="81"/>
  <c r="B26" i="81"/>
  <c r="B29" i="81" s="1"/>
  <c r="F16" i="81"/>
  <c r="F17" i="81" s="1"/>
  <c r="F18" i="81" s="1"/>
  <c r="G16" i="81"/>
  <c r="G17" i="81" s="1"/>
  <c r="G18" i="81" s="1"/>
  <c r="F29" i="82" l="1"/>
  <c r="F29" i="81"/>
  <c r="G19" i="82"/>
  <c r="G20" i="82" s="1"/>
  <c r="G21" i="82" s="1"/>
  <c r="G22" i="82" s="1"/>
  <c r="C19" i="81"/>
  <c r="C38" i="82"/>
  <c r="C39" i="82" s="1"/>
  <c r="F38" i="82"/>
  <c r="F39" i="82" s="1"/>
  <c r="E38" i="82"/>
  <c r="E39" i="82" s="1"/>
  <c r="D38" i="82"/>
  <c r="D39" i="82" s="1"/>
  <c r="F19" i="82"/>
  <c r="F20" i="82" s="1"/>
  <c r="F21" i="82" s="1"/>
  <c r="F22" i="82" s="1"/>
  <c r="G38" i="82"/>
  <c r="G39" i="82" s="1"/>
  <c r="B19" i="81"/>
  <c r="G39" i="81"/>
  <c r="C38" i="81"/>
  <c r="C39" i="81" s="1"/>
  <c r="D38" i="81"/>
  <c r="D39" i="81" s="1"/>
  <c r="F38" i="81"/>
  <c r="F39" i="81" s="1"/>
  <c r="E38" i="81"/>
  <c r="E39" i="81" s="1"/>
  <c r="G19" i="81"/>
  <c r="G20" i="81" s="1"/>
  <c r="G21" i="81" s="1"/>
  <c r="G22" i="81" s="1"/>
  <c r="F19" i="81"/>
  <c r="F20" i="81" s="1"/>
  <c r="F21" i="81" s="1"/>
  <c r="F22" i="81" s="1"/>
  <c r="C40" i="82" l="1"/>
  <c r="F40" i="82"/>
  <c r="D40" i="82"/>
  <c r="F40" i="81"/>
  <c r="D40" i="81"/>
  <c r="C40" i="81"/>
  <c r="E40" i="82" l="1"/>
  <c r="G40" i="82"/>
  <c r="E40" i="81"/>
  <c r="G40" i="81"/>
  <c r="B41" i="81" l="1"/>
  <c r="D41" i="81" s="1"/>
  <c r="B41" i="82"/>
  <c r="D41" i="82" s="1"/>
  <c r="F9" i="64" l="1"/>
  <c r="F8" i="64"/>
  <c r="F7" i="64"/>
  <c r="F5" i="64"/>
  <c r="F6" i="64"/>
  <c r="F9" i="63"/>
  <c r="F8" i="63"/>
  <c r="F7" i="63"/>
  <c r="F5" i="63"/>
  <c r="F6" i="63"/>
  <c r="F8" i="57" l="1"/>
  <c r="F8" i="17" l="1"/>
  <c r="F7" i="17"/>
  <c r="F8" i="7"/>
  <c r="F9" i="7"/>
  <c r="F7" i="7"/>
  <c r="F5" i="7"/>
  <c r="F6" i="7"/>
  <c r="F9" i="13" l="1"/>
  <c r="F6" i="13"/>
  <c r="F5" i="13"/>
  <c r="F8" i="13"/>
  <c r="F35" i="5"/>
  <c r="F8" i="11"/>
  <c r="F7" i="11"/>
  <c r="F6" i="11"/>
  <c r="F5" i="11"/>
  <c r="F9" i="12"/>
  <c r="F7" i="12"/>
  <c r="F5" i="73" l="1"/>
  <c r="F9" i="69"/>
  <c r="F8" i="69"/>
  <c r="F7" i="69"/>
  <c r="F6" i="69"/>
  <c r="F5" i="69"/>
  <c r="F9" i="72"/>
  <c r="F7" i="72"/>
  <c r="F6" i="72"/>
  <c r="F5" i="72"/>
  <c r="F6" i="70"/>
  <c r="F5" i="70"/>
  <c r="F9" i="30"/>
  <c r="F8" i="30"/>
  <c r="F7" i="30"/>
  <c r="F6" i="30"/>
  <c r="B28" i="64"/>
  <c r="F9" i="65"/>
  <c r="F8" i="65"/>
  <c r="F7" i="65"/>
  <c r="F6" i="65"/>
  <c r="F5" i="65"/>
  <c r="B11" i="80"/>
  <c r="B12" i="80" s="1"/>
  <c r="F8" i="80"/>
  <c r="F7" i="80"/>
  <c r="F6" i="80"/>
  <c r="F5" i="80"/>
  <c r="F35" i="80"/>
  <c r="B33" i="80"/>
  <c r="F32" i="80"/>
  <c r="F31" i="80"/>
  <c r="F33" i="80" s="1"/>
  <c r="B28" i="80"/>
  <c r="F24" i="80"/>
  <c r="C22" i="80"/>
  <c r="B22" i="80"/>
  <c r="F16" i="80" s="1"/>
  <c r="C17" i="80"/>
  <c r="B17" i="80"/>
  <c r="G15" i="80"/>
  <c r="F15" i="80"/>
  <c r="B42" i="80"/>
  <c r="B10" i="26"/>
  <c r="F8" i="26"/>
  <c r="F7" i="26"/>
  <c r="F6" i="26"/>
  <c r="F5" i="26"/>
  <c r="F17" i="80" l="1"/>
  <c r="B35" i="80"/>
  <c r="B36" i="80" s="1"/>
  <c r="B24" i="80"/>
  <c r="B25" i="80" s="1"/>
  <c r="B15" i="80"/>
  <c r="B16" i="80" s="1"/>
  <c r="B18" i="80" s="1"/>
  <c r="K10" i="80"/>
  <c r="B32" i="80"/>
  <c r="F19" i="80"/>
  <c r="F20" i="80" s="1"/>
  <c r="F21" i="80" s="1"/>
  <c r="F22" i="80" s="1"/>
  <c r="F18" i="80"/>
  <c r="C15" i="80"/>
  <c r="C16" i="80" s="1"/>
  <c r="C18" i="80" s="1"/>
  <c r="F28" i="80"/>
  <c r="G16" i="80"/>
  <c r="G17" i="80" s="1"/>
  <c r="G18" i="80" s="1"/>
  <c r="F10" i="80"/>
  <c r="G19" i="80" l="1"/>
  <c r="G20" i="80" s="1"/>
  <c r="G21" i="80" s="1"/>
  <c r="G22" i="80" s="1"/>
  <c r="F25" i="80"/>
  <c r="D25" i="80"/>
  <c r="B26" i="80"/>
  <c r="B29" i="80" s="1"/>
  <c r="F29" i="80" s="1"/>
  <c r="B34" i="80"/>
  <c r="B19" i="80"/>
  <c r="C19" i="80"/>
  <c r="F8" i="61"/>
  <c r="F7" i="61"/>
  <c r="F5" i="59"/>
  <c r="F7" i="57"/>
  <c r="F6" i="57"/>
  <c r="F5" i="57"/>
  <c r="B11" i="58"/>
  <c r="B12" i="58" s="1"/>
  <c r="F9" i="58"/>
  <c r="F7" i="58"/>
  <c r="F6" i="58"/>
  <c r="F9" i="55"/>
  <c r="F8" i="55"/>
  <c r="F7" i="55"/>
  <c r="F6" i="55"/>
  <c r="F5" i="55"/>
  <c r="B11" i="22"/>
  <c r="B28" i="53"/>
  <c r="B28" i="54"/>
  <c r="B11" i="54"/>
  <c r="F9" i="54"/>
  <c r="F8" i="54"/>
  <c r="F7" i="54"/>
  <c r="F6" i="54"/>
  <c r="F5" i="54"/>
  <c r="F9" i="79"/>
  <c r="F24" i="79" s="1"/>
  <c r="F8" i="79"/>
  <c r="F7" i="79"/>
  <c r="F6" i="79"/>
  <c r="F5" i="79"/>
  <c r="B42" i="79"/>
  <c r="F35" i="79"/>
  <c r="B33" i="79"/>
  <c r="F32" i="79"/>
  <c r="F31" i="79"/>
  <c r="F33" i="79" s="1"/>
  <c r="B28" i="79"/>
  <c r="C22" i="79"/>
  <c r="B22" i="79"/>
  <c r="F16" i="79" s="1"/>
  <c r="C17" i="79"/>
  <c r="B17" i="79"/>
  <c r="G15" i="79"/>
  <c r="F15" i="79"/>
  <c r="B11" i="79"/>
  <c r="B12" i="79" s="1"/>
  <c r="F8" i="78"/>
  <c r="F7" i="78"/>
  <c r="F6" i="78"/>
  <c r="F5" i="78"/>
  <c r="B42" i="78"/>
  <c r="F35" i="78"/>
  <c r="B33" i="78"/>
  <c r="F32" i="78"/>
  <c r="F31" i="78"/>
  <c r="F33" i="78" s="1"/>
  <c r="B28" i="78"/>
  <c r="C22" i="78"/>
  <c r="B22" i="78"/>
  <c r="F16" i="78" s="1"/>
  <c r="C17" i="78"/>
  <c r="B17" i="78"/>
  <c r="G15" i="78"/>
  <c r="F15" i="78"/>
  <c r="B11" i="78"/>
  <c r="B12" i="78" s="1"/>
  <c r="F9" i="78"/>
  <c r="F24" i="78" s="1"/>
  <c r="F9" i="18"/>
  <c r="F8" i="18"/>
  <c r="F7" i="18"/>
  <c r="F5" i="18"/>
  <c r="F5" i="46"/>
  <c r="B11" i="47"/>
  <c r="B12" i="47" s="1"/>
  <c r="F8" i="47"/>
  <c r="F5" i="47"/>
  <c r="F7" i="48"/>
  <c r="F5" i="48"/>
  <c r="F9" i="49"/>
  <c r="B28" i="51"/>
  <c r="F9" i="51"/>
  <c r="F6" i="51"/>
  <c r="F5" i="51"/>
  <c r="F9" i="52"/>
  <c r="F6" i="75"/>
  <c r="F5" i="75"/>
  <c r="F9" i="75"/>
  <c r="F24" i="75" s="1"/>
  <c r="F8" i="75"/>
  <c r="F7" i="75"/>
  <c r="F35" i="75"/>
  <c r="B33" i="75"/>
  <c r="F32" i="75"/>
  <c r="F31" i="75"/>
  <c r="F33" i="75" s="1"/>
  <c r="B28" i="75"/>
  <c r="C22" i="75"/>
  <c r="B22" i="75"/>
  <c r="C17" i="75"/>
  <c r="B17" i="75"/>
  <c r="G15" i="75"/>
  <c r="F15" i="75"/>
  <c r="B10" i="75"/>
  <c r="B42" i="75" s="1"/>
  <c r="F9" i="14"/>
  <c r="F8" i="14"/>
  <c r="F7" i="14"/>
  <c r="F6" i="14"/>
  <c r="F5" i="14"/>
  <c r="F17" i="78" l="1"/>
  <c r="F17" i="79"/>
  <c r="F18" i="79" s="1"/>
  <c r="D38" i="80"/>
  <c r="D39" i="80" s="1"/>
  <c r="C38" i="80"/>
  <c r="C39" i="80" s="1"/>
  <c r="F38" i="80"/>
  <c r="F39" i="80" s="1"/>
  <c r="E38" i="80"/>
  <c r="E39" i="80" s="1"/>
  <c r="G38" i="80"/>
  <c r="G39" i="80" s="1"/>
  <c r="B24" i="79"/>
  <c r="B25" i="79" s="1"/>
  <c r="B15" i="79"/>
  <c r="B16" i="79" s="1"/>
  <c r="B18" i="79" s="1"/>
  <c r="K10" i="79"/>
  <c r="B32" i="79"/>
  <c r="B34" i="79" s="1"/>
  <c r="F19" i="79"/>
  <c r="F20" i="79" s="1"/>
  <c r="F21" i="79" s="1"/>
  <c r="F22" i="79" s="1"/>
  <c r="C15" i="79"/>
  <c r="C16" i="79" s="1"/>
  <c r="C18" i="79" s="1"/>
  <c r="F28" i="79"/>
  <c r="B29" i="79"/>
  <c r="B35" i="79"/>
  <c r="B36" i="79" s="1"/>
  <c r="G16" i="79"/>
  <c r="G17" i="79" s="1"/>
  <c r="G18" i="79" s="1"/>
  <c r="F10" i="79"/>
  <c r="B24" i="78"/>
  <c r="B25" i="78" s="1"/>
  <c r="B15" i="78"/>
  <c r="B16" i="78" s="1"/>
  <c r="B18" i="78" s="1"/>
  <c r="C15" i="78"/>
  <c r="C16" i="78" s="1"/>
  <c r="C18" i="78" s="1"/>
  <c r="B32" i="78"/>
  <c r="K10" i="78"/>
  <c r="F19" i="78"/>
  <c r="F20" i="78" s="1"/>
  <c r="F21" i="78" s="1"/>
  <c r="F22" i="78" s="1"/>
  <c r="F18" i="78"/>
  <c r="F28" i="78"/>
  <c r="B35" i="78"/>
  <c r="B36" i="78" s="1"/>
  <c r="G16" i="78"/>
  <c r="G17" i="78" s="1"/>
  <c r="G18" i="78" s="1"/>
  <c r="F10" i="78"/>
  <c r="B32" i="75"/>
  <c r="B34" i="75" s="1"/>
  <c r="C15" i="75"/>
  <c r="C16" i="75" s="1"/>
  <c r="C18" i="75" s="1"/>
  <c r="K10" i="75"/>
  <c r="B24" i="75"/>
  <c r="B26" i="75" s="1"/>
  <c r="B15" i="75"/>
  <c r="B16" i="75" s="1"/>
  <c r="B18" i="75" s="1"/>
  <c r="F28" i="75"/>
  <c r="B35" i="75"/>
  <c r="B36" i="75" s="1"/>
  <c r="F10" i="75"/>
  <c r="F16" i="75"/>
  <c r="F17" i="75" s="1"/>
  <c r="F18" i="75" s="1"/>
  <c r="G16" i="75"/>
  <c r="G17" i="75" s="1"/>
  <c r="G18" i="75" s="1"/>
  <c r="B42" i="74"/>
  <c r="F35" i="74"/>
  <c r="B33" i="74"/>
  <c r="F32" i="74"/>
  <c r="F31" i="74"/>
  <c r="F33" i="74" s="1"/>
  <c r="F24" i="74"/>
  <c r="C22" i="74"/>
  <c r="B22" i="74"/>
  <c r="F16" i="74" s="1"/>
  <c r="C17" i="74"/>
  <c r="B17" i="74"/>
  <c r="G15" i="74"/>
  <c r="F15" i="74"/>
  <c r="B28" i="7"/>
  <c r="B28" i="45"/>
  <c r="F8" i="45"/>
  <c r="F5" i="45"/>
  <c r="B28" i="6"/>
  <c r="F9" i="6"/>
  <c r="F6" i="6"/>
  <c r="F5" i="6"/>
  <c r="F9" i="44"/>
  <c r="B28" i="42"/>
  <c r="F9" i="42"/>
  <c r="F8" i="42"/>
  <c r="F7" i="42"/>
  <c r="F6" i="42"/>
  <c r="F5" i="42"/>
  <c r="F8" i="41"/>
  <c r="F7" i="41"/>
  <c r="F5" i="41"/>
  <c r="B11" i="41"/>
  <c r="B29" i="78" l="1"/>
  <c r="F29" i="78" s="1"/>
  <c r="B26" i="79"/>
  <c r="B26" i="78"/>
  <c r="F17" i="74"/>
  <c r="F18" i="74" s="1"/>
  <c r="F40" i="80"/>
  <c r="C40" i="80"/>
  <c r="D40" i="80"/>
  <c r="D38" i="79"/>
  <c r="D39" i="79" s="1"/>
  <c r="E38" i="79"/>
  <c r="E39" i="79" s="1"/>
  <c r="C38" i="79"/>
  <c r="C39" i="79" s="1"/>
  <c r="F38" i="79"/>
  <c r="F39" i="79" s="1"/>
  <c r="G19" i="79"/>
  <c r="G20" i="79" s="1"/>
  <c r="G21" i="79" s="1"/>
  <c r="G22" i="79" s="1"/>
  <c r="B19" i="79"/>
  <c r="C19" i="79"/>
  <c r="G38" i="79"/>
  <c r="G39" i="79" s="1"/>
  <c r="F29" i="79"/>
  <c r="F25" i="79"/>
  <c r="D25" i="79"/>
  <c r="B19" i="78"/>
  <c r="C19" i="78"/>
  <c r="F25" i="78"/>
  <c r="D25" i="78"/>
  <c r="B34" i="78"/>
  <c r="G19" i="78"/>
  <c r="G20" i="78" s="1"/>
  <c r="G21" i="78" s="1"/>
  <c r="G22" i="78" s="1"/>
  <c r="C38" i="75"/>
  <c r="C39" i="75" s="1"/>
  <c r="D40" i="75" s="1"/>
  <c r="F38" i="75"/>
  <c r="F39" i="75" s="1"/>
  <c r="E38" i="75"/>
  <c r="E39" i="75" s="1"/>
  <c r="D38" i="75"/>
  <c r="D39" i="75" s="1"/>
  <c r="G38" i="75"/>
  <c r="G39" i="75" s="1"/>
  <c r="B25" i="75"/>
  <c r="B29" i="75"/>
  <c r="F29" i="75" s="1"/>
  <c r="F19" i="75"/>
  <c r="F20" i="75" s="1"/>
  <c r="F21" i="75" s="1"/>
  <c r="F22" i="75" s="1"/>
  <c r="C19" i="75"/>
  <c r="B19" i="75"/>
  <c r="G19" i="75"/>
  <c r="G20" i="75" s="1"/>
  <c r="G21" i="75" s="1"/>
  <c r="G22" i="75" s="1"/>
  <c r="F28" i="74"/>
  <c r="B24" i="74"/>
  <c r="B25" i="74" s="1"/>
  <c r="B15" i="74"/>
  <c r="B16" i="74" s="1"/>
  <c r="B18" i="74" s="1"/>
  <c r="F19" i="74"/>
  <c r="F20" i="74" s="1"/>
  <c r="F21" i="74" s="1"/>
  <c r="F22" i="74" s="1"/>
  <c r="C15" i="74"/>
  <c r="C16" i="74" s="1"/>
  <c r="C18" i="74" s="1"/>
  <c r="K10" i="74"/>
  <c r="B32" i="74"/>
  <c r="B35" i="74"/>
  <c r="B36" i="74" s="1"/>
  <c r="G16" i="74"/>
  <c r="G17" i="74" s="1"/>
  <c r="G18" i="74" s="1"/>
  <c r="F10" i="74"/>
  <c r="F5" i="39"/>
  <c r="F9" i="34"/>
  <c r="F8" i="34"/>
  <c r="F7" i="34"/>
  <c r="F6" i="34"/>
  <c r="F5" i="34"/>
  <c r="B28" i="33"/>
  <c r="F9" i="33"/>
  <c r="F8" i="33"/>
  <c r="F7" i="33"/>
  <c r="F6" i="33"/>
  <c r="F5" i="33"/>
  <c r="F9" i="32"/>
  <c r="F8" i="32"/>
  <c r="F7" i="32"/>
  <c r="F6" i="32"/>
  <c r="F5" i="32"/>
  <c r="F9" i="2"/>
  <c r="F8" i="2"/>
  <c r="F7" i="2"/>
  <c r="F6" i="2"/>
  <c r="F5" i="2"/>
  <c r="F7" i="36"/>
  <c r="F6" i="36"/>
  <c r="F8" i="35"/>
  <c r="F7" i="35"/>
  <c r="F5" i="35"/>
  <c r="F9" i="35"/>
  <c r="F6" i="35"/>
  <c r="B11" i="35"/>
  <c r="B12" i="35" s="1"/>
  <c r="F6" i="38"/>
  <c r="B11" i="1"/>
  <c r="B12" i="1" s="1"/>
  <c r="B11" i="9"/>
  <c r="B12" i="9" s="1"/>
  <c r="B11" i="12"/>
  <c r="B12" i="12" s="1"/>
  <c r="B11" i="11"/>
  <c r="B12" i="11" s="1"/>
  <c r="B11" i="8"/>
  <c r="B12" i="8" s="1"/>
  <c r="B11" i="13"/>
  <c r="B12" i="13" s="1"/>
  <c r="B11" i="5"/>
  <c r="B11" i="39"/>
  <c r="B12" i="39" s="1"/>
  <c r="B11" i="42"/>
  <c r="B12" i="42" s="1"/>
  <c r="B11" i="43"/>
  <c r="B12" i="43" s="1"/>
  <c r="B11" i="14"/>
  <c r="B12" i="14" s="1"/>
  <c r="B11" i="10"/>
  <c r="B12" i="52"/>
  <c r="B11" i="51"/>
  <c r="B12" i="51" s="1"/>
  <c r="B11" i="16"/>
  <c r="B11" i="49"/>
  <c r="B12" i="49" s="1"/>
  <c r="B11" i="48"/>
  <c r="B12" i="48" s="1"/>
  <c r="B11" i="18"/>
  <c r="B11" i="20"/>
  <c r="B12" i="20" s="1"/>
  <c r="B12" i="54"/>
  <c r="B11" i="53"/>
  <c r="B12" i="53" s="1"/>
  <c r="B11" i="55"/>
  <c r="B12" i="55" s="1"/>
  <c r="B11" i="24"/>
  <c r="B12" i="24" s="1"/>
  <c r="B11" i="23"/>
  <c r="B12" i="23" s="1"/>
  <c r="B11" i="62"/>
  <c r="B12" i="62" s="1"/>
  <c r="B11" i="26"/>
  <c r="B12" i="26" s="1"/>
  <c r="B11" i="27"/>
  <c r="B12" i="27" s="1"/>
  <c r="B11" i="28"/>
  <c r="B11" i="29"/>
  <c r="B12" i="29" s="1"/>
  <c r="B11" i="65"/>
  <c r="B12" i="65" s="1"/>
  <c r="B11" i="66"/>
  <c r="B12" i="66" s="1"/>
  <c r="B11" i="30"/>
  <c r="B12" i="30" s="1"/>
  <c r="B11" i="69"/>
  <c r="B12" i="69" s="1"/>
  <c r="B11" i="71"/>
  <c r="B12" i="71" s="1"/>
  <c r="F28" i="71" s="1"/>
  <c r="F9" i="37"/>
  <c r="F8" i="37"/>
  <c r="F6" i="37"/>
  <c r="B12" i="5"/>
  <c r="B12" i="22"/>
  <c r="B12" i="18"/>
  <c r="C46" i="4"/>
  <c r="D46" i="4"/>
  <c r="F46" i="4" s="1"/>
  <c r="B12" i="41"/>
  <c r="B12" i="10"/>
  <c r="B12" i="16"/>
  <c r="B12" i="28"/>
  <c r="F6" i="4"/>
  <c r="F9" i="4"/>
  <c r="F7" i="4"/>
  <c r="F5" i="4"/>
  <c r="B26" i="74" l="1"/>
  <c r="B29" i="74" s="1"/>
  <c r="F29" i="74" s="1"/>
  <c r="E40" i="80"/>
  <c r="G40" i="80"/>
  <c r="F40" i="79"/>
  <c r="C40" i="79"/>
  <c r="D40" i="79"/>
  <c r="D38" i="78"/>
  <c r="D39" i="78" s="1"/>
  <c r="C38" i="78"/>
  <c r="C39" i="78" s="1"/>
  <c r="F38" i="78"/>
  <c r="E38" i="78"/>
  <c r="E39" i="78" s="1"/>
  <c r="G38" i="78"/>
  <c r="G39" i="78" s="1"/>
  <c r="F39" i="78"/>
  <c r="D25" i="75"/>
  <c r="F25" i="75"/>
  <c r="F40" i="75"/>
  <c r="C40" i="75"/>
  <c r="E40" i="75" s="1"/>
  <c r="B34" i="74"/>
  <c r="B19" i="74"/>
  <c r="C19" i="74"/>
  <c r="F25" i="74"/>
  <c r="D25" i="74"/>
  <c r="G19" i="74"/>
  <c r="G20" i="74" s="1"/>
  <c r="G21" i="74" s="1"/>
  <c r="G22" i="74" s="1"/>
  <c r="F9" i="71"/>
  <c r="F24" i="71" s="1"/>
  <c r="F7" i="71"/>
  <c r="F24" i="73"/>
  <c r="B42" i="73"/>
  <c r="F35" i="73"/>
  <c r="B33" i="73"/>
  <c r="F32" i="73"/>
  <c r="F31" i="73"/>
  <c r="F33" i="73" s="1"/>
  <c r="C22" i="73"/>
  <c r="B22" i="73"/>
  <c r="F16" i="73" s="1"/>
  <c r="C17" i="73"/>
  <c r="B17" i="73"/>
  <c r="G15" i="73"/>
  <c r="F15" i="73"/>
  <c r="B24" i="73"/>
  <c r="B25" i="73" s="1"/>
  <c r="F10" i="73"/>
  <c r="F8" i="72"/>
  <c r="B42" i="72"/>
  <c r="F35" i="72"/>
  <c r="B33" i="72"/>
  <c r="F32" i="72"/>
  <c r="F31" i="72"/>
  <c r="F33" i="72" s="1"/>
  <c r="F24" i="72"/>
  <c r="B22" i="72"/>
  <c r="F16" i="72" s="1"/>
  <c r="C17" i="72"/>
  <c r="B17" i="72"/>
  <c r="G15" i="72"/>
  <c r="F15" i="72"/>
  <c r="B24" i="72"/>
  <c r="B25" i="72" s="1"/>
  <c r="F10" i="72"/>
  <c r="B42" i="71"/>
  <c r="F35" i="71"/>
  <c r="B33" i="71"/>
  <c r="F32" i="71"/>
  <c r="F31" i="71"/>
  <c r="F33" i="71" s="1"/>
  <c r="C22" i="71"/>
  <c r="B22" i="71"/>
  <c r="F16" i="71" s="1"/>
  <c r="C17" i="71"/>
  <c r="B17" i="71"/>
  <c r="G15" i="71"/>
  <c r="F15" i="71"/>
  <c r="B24" i="71"/>
  <c r="B25" i="71" s="1"/>
  <c r="F9" i="70"/>
  <c r="F24" i="70" s="1"/>
  <c r="F8" i="70"/>
  <c r="F7" i="70"/>
  <c r="B42" i="70"/>
  <c r="F35" i="70"/>
  <c r="B33" i="70"/>
  <c r="F32" i="70"/>
  <c r="F31" i="70"/>
  <c r="F33" i="70" s="1"/>
  <c r="C22" i="70"/>
  <c r="B22" i="70"/>
  <c r="C17" i="70"/>
  <c r="B17" i="70"/>
  <c r="G15" i="70"/>
  <c r="F15" i="70"/>
  <c r="B32" i="70"/>
  <c r="F24" i="69"/>
  <c r="C15" i="69"/>
  <c r="C16" i="69" s="1"/>
  <c r="B42" i="69"/>
  <c r="F35" i="69"/>
  <c r="B33" i="69"/>
  <c r="F32" i="69"/>
  <c r="F31" i="69"/>
  <c r="F33" i="69" s="1"/>
  <c r="F28" i="69"/>
  <c r="B22" i="69"/>
  <c r="F16" i="69" s="1"/>
  <c r="C17" i="69"/>
  <c r="B17" i="69"/>
  <c r="G15" i="69"/>
  <c r="F15" i="69"/>
  <c r="B24" i="69"/>
  <c r="B25" i="69" s="1"/>
  <c r="F17" i="73" l="1"/>
  <c r="E40" i="79"/>
  <c r="F17" i="72"/>
  <c r="F18" i="72" s="1"/>
  <c r="C18" i="69"/>
  <c r="B41" i="80"/>
  <c r="D41" i="80" s="1"/>
  <c r="G40" i="79"/>
  <c r="B41" i="79" s="1"/>
  <c r="D41" i="79" s="1"/>
  <c r="C40" i="78"/>
  <c r="F40" i="78"/>
  <c r="D40" i="78"/>
  <c r="G40" i="75"/>
  <c r="B41" i="75" s="1"/>
  <c r="D41" i="75" s="1"/>
  <c r="D38" i="74"/>
  <c r="D39" i="74" s="1"/>
  <c r="E38" i="74"/>
  <c r="E39" i="74" s="1"/>
  <c r="C38" i="74"/>
  <c r="C39" i="74" s="1"/>
  <c r="F38" i="74"/>
  <c r="F39" i="74" s="1"/>
  <c r="G38" i="74"/>
  <c r="G39" i="74" s="1"/>
  <c r="F19" i="71"/>
  <c r="F20" i="71" s="1"/>
  <c r="F21" i="71" s="1"/>
  <c r="F22" i="71" s="1"/>
  <c r="B35" i="71"/>
  <c r="B36" i="71" s="1"/>
  <c r="C15" i="71"/>
  <c r="C16" i="71" s="1"/>
  <c r="C18" i="71" s="1"/>
  <c r="K10" i="71"/>
  <c r="B15" i="71"/>
  <c r="B16" i="71" s="1"/>
  <c r="B18" i="71" s="1"/>
  <c r="F10" i="71"/>
  <c r="B15" i="73"/>
  <c r="B16" i="73" s="1"/>
  <c r="B18" i="73" s="1"/>
  <c r="C15" i="73"/>
  <c r="C16" i="73" s="1"/>
  <c r="C18" i="73" s="1"/>
  <c r="K10" i="73"/>
  <c r="F28" i="73"/>
  <c r="B35" i="73"/>
  <c r="B36" i="73" s="1"/>
  <c r="F25" i="73"/>
  <c r="D25" i="73"/>
  <c r="B26" i="73"/>
  <c r="B29" i="73" s="1"/>
  <c r="F18" i="73"/>
  <c r="F19" i="73"/>
  <c r="F20" i="73" s="1"/>
  <c r="F21" i="73" s="1"/>
  <c r="F22" i="73" s="1"/>
  <c r="G16" i="73"/>
  <c r="G17" i="73" s="1"/>
  <c r="G18" i="73" s="1"/>
  <c r="B32" i="73"/>
  <c r="B34" i="73" s="1"/>
  <c r="G38" i="73" s="1"/>
  <c r="C15" i="72"/>
  <c r="C16" i="72" s="1"/>
  <c r="C18" i="72" s="1"/>
  <c r="F28" i="72"/>
  <c r="B35" i="72"/>
  <c r="B36" i="72" s="1"/>
  <c r="K10" i="72"/>
  <c r="B15" i="72"/>
  <c r="B16" i="72" s="1"/>
  <c r="B18" i="72" s="1"/>
  <c r="F25" i="72"/>
  <c r="D25" i="72"/>
  <c r="F19" i="72"/>
  <c r="F20" i="72" s="1"/>
  <c r="F21" i="72" s="1"/>
  <c r="F22" i="72" s="1"/>
  <c r="G16" i="72"/>
  <c r="G17" i="72" s="1"/>
  <c r="G18" i="72" s="1"/>
  <c r="B32" i="72"/>
  <c r="B26" i="72"/>
  <c r="B29" i="72" s="1"/>
  <c r="F25" i="71"/>
  <c r="D25" i="71"/>
  <c r="G16" i="71"/>
  <c r="G17" i="71" s="1"/>
  <c r="G18" i="71" s="1"/>
  <c r="B32" i="71"/>
  <c r="B26" i="71"/>
  <c r="B29" i="71" s="1"/>
  <c r="F29" i="71" s="1"/>
  <c r="F17" i="71"/>
  <c r="F18" i="71" s="1"/>
  <c r="B24" i="70"/>
  <c r="B25" i="70" s="1"/>
  <c r="F25" i="70" s="1"/>
  <c r="F28" i="70"/>
  <c r="B35" i="70"/>
  <c r="B36" i="70" s="1"/>
  <c r="C15" i="70"/>
  <c r="C16" i="70" s="1"/>
  <c r="C18" i="70" s="1"/>
  <c r="B34" i="70"/>
  <c r="F38" i="70" s="1"/>
  <c r="B15" i="70"/>
  <c r="B16" i="70" s="1"/>
  <c r="B18" i="70" s="1"/>
  <c r="F10" i="70"/>
  <c r="K10" i="70"/>
  <c r="F16" i="70"/>
  <c r="F17" i="70" s="1"/>
  <c r="F18" i="70" s="1"/>
  <c r="G16" i="70"/>
  <c r="G17" i="70" s="1"/>
  <c r="G18" i="70" s="1"/>
  <c r="K10" i="69"/>
  <c r="F19" i="69"/>
  <c r="F20" i="69" s="1"/>
  <c r="F21" i="69" s="1"/>
  <c r="F22" i="69" s="1"/>
  <c r="B15" i="69"/>
  <c r="B16" i="69" s="1"/>
  <c r="B18" i="69" s="1"/>
  <c r="B35" i="69"/>
  <c r="B36" i="69" s="1"/>
  <c r="F10" i="69"/>
  <c r="F25" i="69"/>
  <c r="D25" i="69"/>
  <c r="G16" i="69"/>
  <c r="G17" i="69" s="1"/>
  <c r="G18" i="69" s="1"/>
  <c r="B32" i="69"/>
  <c r="B26" i="69"/>
  <c r="B29" i="69" s="1"/>
  <c r="F29" i="69" s="1"/>
  <c r="F17" i="69"/>
  <c r="F18" i="69" s="1"/>
  <c r="F5" i="30"/>
  <c r="F9" i="66"/>
  <c r="F24" i="66" s="1"/>
  <c r="F8" i="66"/>
  <c r="F7" i="66"/>
  <c r="F10" i="66" s="1"/>
  <c r="F6" i="66"/>
  <c r="F5" i="66"/>
  <c r="B42" i="66"/>
  <c r="F35" i="66"/>
  <c r="B33" i="66"/>
  <c r="F32" i="66"/>
  <c r="F31" i="66"/>
  <c r="F33" i="66" s="1"/>
  <c r="C22" i="66"/>
  <c r="B22" i="66"/>
  <c r="F16" i="66" s="1"/>
  <c r="F19" i="66" s="1"/>
  <c r="F20" i="66" s="1"/>
  <c r="C17" i="66"/>
  <c r="B17" i="66"/>
  <c r="G15" i="66"/>
  <c r="F15" i="66"/>
  <c r="B24" i="66"/>
  <c r="B25" i="66" s="1"/>
  <c r="K10" i="66"/>
  <c r="B42" i="65"/>
  <c r="F35" i="65"/>
  <c r="B33" i="65"/>
  <c r="F32" i="65"/>
  <c r="F31" i="65"/>
  <c r="F33" i="65" s="1"/>
  <c r="F24" i="65"/>
  <c r="C22" i="65"/>
  <c r="G16" i="65" s="1"/>
  <c r="B22" i="65"/>
  <c r="F16" i="65" s="1"/>
  <c r="C17" i="65"/>
  <c r="B17" i="65"/>
  <c r="G15" i="65"/>
  <c r="F15" i="65"/>
  <c r="B24" i="65"/>
  <c r="B25" i="65" s="1"/>
  <c r="B42" i="64"/>
  <c r="F35" i="64"/>
  <c r="B33" i="64"/>
  <c r="F32" i="64"/>
  <c r="F31" i="64"/>
  <c r="F33" i="64" s="1"/>
  <c r="F24" i="64"/>
  <c r="C22" i="64"/>
  <c r="B22" i="64"/>
  <c r="F16" i="64" s="1"/>
  <c r="C17" i="64"/>
  <c r="B17" i="64"/>
  <c r="G15" i="64"/>
  <c r="F15" i="64"/>
  <c r="B24" i="64"/>
  <c r="B25" i="64" s="1"/>
  <c r="F10" i="64"/>
  <c r="F24" i="63"/>
  <c r="B42" i="63"/>
  <c r="F35" i="63"/>
  <c r="B33" i="63"/>
  <c r="F32" i="63"/>
  <c r="F31" i="63"/>
  <c r="F33" i="63" s="1"/>
  <c r="C22" i="63"/>
  <c r="B22" i="63"/>
  <c r="F16" i="63" s="1"/>
  <c r="C17" i="63"/>
  <c r="B17" i="63"/>
  <c r="G16" i="63"/>
  <c r="G15" i="63"/>
  <c r="F15" i="63"/>
  <c r="B24" i="63"/>
  <c r="B25" i="63" s="1"/>
  <c r="F24" i="62"/>
  <c r="B42" i="62"/>
  <c r="F35" i="62"/>
  <c r="B33" i="62"/>
  <c r="F32" i="62"/>
  <c r="F31" i="62"/>
  <c r="F33" i="62" s="1"/>
  <c r="C22" i="62"/>
  <c r="G16" i="62" s="1"/>
  <c r="B22" i="62"/>
  <c r="F16" i="62" s="1"/>
  <c r="C17" i="62"/>
  <c r="B17" i="62"/>
  <c r="G15" i="62"/>
  <c r="F15" i="62"/>
  <c r="B24" i="62"/>
  <c r="B25" i="62" s="1"/>
  <c r="K10" i="62"/>
  <c r="H37" i="62" s="1"/>
  <c r="F10" i="62"/>
  <c r="F6" i="61"/>
  <c r="C15" i="61" s="1"/>
  <c r="C16" i="61" s="1"/>
  <c r="F9" i="61"/>
  <c r="F5" i="61"/>
  <c r="B42" i="61"/>
  <c r="F35" i="61"/>
  <c r="B33" i="61"/>
  <c r="F32" i="61"/>
  <c r="F31" i="61"/>
  <c r="F33" i="61" s="1"/>
  <c r="F28" i="61"/>
  <c r="F24" i="61"/>
  <c r="C22" i="61"/>
  <c r="B22" i="61"/>
  <c r="F16" i="61" s="1"/>
  <c r="F19" i="61" s="1"/>
  <c r="F20" i="61" s="1"/>
  <c r="C17" i="61"/>
  <c r="B17" i="61"/>
  <c r="G15" i="61"/>
  <c r="F15" i="61"/>
  <c r="B24" i="61"/>
  <c r="B25" i="61" s="1"/>
  <c r="K10" i="61"/>
  <c r="J25" i="61" s="1"/>
  <c r="F10" i="61"/>
  <c r="F9" i="59"/>
  <c r="F24" i="59" s="1"/>
  <c r="F8" i="59"/>
  <c r="F7" i="59"/>
  <c r="F6" i="59"/>
  <c r="B42" i="59"/>
  <c r="F35" i="59"/>
  <c r="B33" i="59"/>
  <c r="F32" i="59"/>
  <c r="F31" i="59"/>
  <c r="F33" i="59" s="1"/>
  <c r="C22" i="59"/>
  <c r="B22" i="59"/>
  <c r="F16" i="59" s="1"/>
  <c r="C17" i="59"/>
  <c r="B17" i="59"/>
  <c r="G15" i="59"/>
  <c r="F15" i="59"/>
  <c r="B24" i="59"/>
  <c r="B25" i="59" s="1"/>
  <c r="F8" i="58"/>
  <c r="F10" i="58" s="1"/>
  <c r="B42" i="58"/>
  <c r="F35" i="58"/>
  <c r="B33" i="58"/>
  <c r="F32" i="58"/>
  <c r="F31" i="58"/>
  <c r="F33" i="58" s="1"/>
  <c r="F24" i="58"/>
  <c r="C22" i="58"/>
  <c r="B22" i="58"/>
  <c r="F16" i="58" s="1"/>
  <c r="C17" i="58"/>
  <c r="B17" i="58"/>
  <c r="G15" i="58"/>
  <c r="F15" i="58"/>
  <c r="B24" i="58"/>
  <c r="B25" i="58" s="1"/>
  <c r="B28" i="57"/>
  <c r="F10" i="57"/>
  <c r="B42" i="57"/>
  <c r="F35" i="57"/>
  <c r="B33" i="57"/>
  <c r="F32" i="57"/>
  <c r="F31" i="57"/>
  <c r="F33" i="57" s="1"/>
  <c r="F24" i="57"/>
  <c r="C22" i="57"/>
  <c r="B22" i="57"/>
  <c r="F16" i="57" s="1"/>
  <c r="C17" i="57"/>
  <c r="B17" i="57"/>
  <c r="G15" i="57"/>
  <c r="F15" i="57"/>
  <c r="B24" i="57"/>
  <c r="B25" i="57" s="1"/>
  <c r="F24" i="55"/>
  <c r="F10" i="55"/>
  <c r="B15" i="55"/>
  <c r="B16" i="55" s="1"/>
  <c r="B42" i="55"/>
  <c r="F35" i="55"/>
  <c r="B33" i="55"/>
  <c r="F32" i="55"/>
  <c r="F31" i="55"/>
  <c r="F33" i="55" s="1"/>
  <c r="F28" i="55"/>
  <c r="C22" i="55"/>
  <c r="B22" i="55"/>
  <c r="F16" i="55" s="1"/>
  <c r="C17" i="55"/>
  <c r="B17" i="55"/>
  <c r="G15" i="55"/>
  <c r="F15" i="55"/>
  <c r="B24" i="55"/>
  <c r="B25" i="55" s="1"/>
  <c r="K10" i="55"/>
  <c r="C15" i="55"/>
  <c r="C16" i="55" s="1"/>
  <c r="F9" i="53"/>
  <c r="F7" i="53"/>
  <c r="F6" i="53"/>
  <c r="F5" i="53"/>
  <c r="F10" i="54"/>
  <c r="C15" i="54"/>
  <c r="C16" i="54" s="1"/>
  <c r="B42" i="54"/>
  <c r="F35" i="54"/>
  <c r="B33" i="54"/>
  <c r="F32" i="54"/>
  <c r="F31" i="54"/>
  <c r="F33" i="54" s="1"/>
  <c r="F28" i="54"/>
  <c r="B24" i="54"/>
  <c r="B25" i="54" s="1"/>
  <c r="C22" i="54"/>
  <c r="B22" i="54"/>
  <c r="C17" i="54"/>
  <c r="B17" i="54"/>
  <c r="G15" i="54"/>
  <c r="F15" i="54"/>
  <c r="B32" i="54"/>
  <c r="F24" i="54"/>
  <c r="B15" i="54"/>
  <c r="B16" i="54" s="1"/>
  <c r="F9" i="21"/>
  <c r="F8" i="21"/>
  <c r="G17" i="65" l="1"/>
  <c r="C19" i="69"/>
  <c r="B19" i="73"/>
  <c r="C18" i="61"/>
  <c r="C19" i="61" s="1"/>
  <c r="F21" i="66"/>
  <c r="F22" i="66" s="1"/>
  <c r="G17" i="62"/>
  <c r="C18" i="55"/>
  <c r="F17" i="58"/>
  <c r="F18" i="58" s="1"/>
  <c r="B19" i="71"/>
  <c r="F10" i="59"/>
  <c r="B18" i="54"/>
  <c r="C18" i="54"/>
  <c r="G17" i="63"/>
  <c r="G18" i="63" s="1"/>
  <c r="E40" i="78"/>
  <c r="F17" i="55"/>
  <c r="F18" i="55" s="1"/>
  <c r="B18" i="55"/>
  <c r="F21" i="61"/>
  <c r="F22" i="61" s="1"/>
  <c r="F17" i="65"/>
  <c r="F18" i="65" s="1"/>
  <c r="G19" i="69"/>
  <c r="G20" i="69" s="1"/>
  <c r="G21" i="69" s="1"/>
  <c r="G22" i="69" s="1"/>
  <c r="B35" i="54"/>
  <c r="B36" i="54" s="1"/>
  <c r="G40" i="78"/>
  <c r="B41" i="78" s="1"/>
  <c r="D41" i="78" s="1"/>
  <c r="F40" i="74"/>
  <c r="C40" i="74"/>
  <c r="D40" i="74"/>
  <c r="C38" i="70"/>
  <c r="G38" i="70"/>
  <c r="G39" i="70" s="1"/>
  <c r="D25" i="70"/>
  <c r="B26" i="70"/>
  <c r="B29" i="70" s="1"/>
  <c r="F29" i="70" s="1"/>
  <c r="B19" i="69"/>
  <c r="C19" i="55"/>
  <c r="E38" i="70"/>
  <c r="E39" i="70" s="1"/>
  <c r="B34" i="54"/>
  <c r="D38" i="54" s="1"/>
  <c r="F39" i="70"/>
  <c r="B19" i="72"/>
  <c r="C19" i="73"/>
  <c r="F29" i="72"/>
  <c r="C19" i="71"/>
  <c r="F29" i="73"/>
  <c r="D38" i="73"/>
  <c r="D39" i="73" s="1"/>
  <c r="E38" i="73"/>
  <c r="C38" i="73"/>
  <c r="C39" i="73" s="1"/>
  <c r="F38" i="73"/>
  <c r="F39" i="73" s="1"/>
  <c r="G39" i="73"/>
  <c r="E39" i="73"/>
  <c r="G19" i="73"/>
  <c r="G20" i="73" s="1"/>
  <c r="G21" i="73" s="1"/>
  <c r="G22" i="73" s="1"/>
  <c r="C19" i="72"/>
  <c r="D38" i="70"/>
  <c r="D39" i="70" s="1"/>
  <c r="G19" i="72"/>
  <c r="G20" i="72" s="1"/>
  <c r="G21" i="72" s="1"/>
  <c r="G22" i="72" s="1"/>
  <c r="B34" i="72"/>
  <c r="B34" i="71"/>
  <c r="G19" i="71"/>
  <c r="G20" i="71" s="1"/>
  <c r="G21" i="71" s="1"/>
  <c r="G22" i="71" s="1"/>
  <c r="C39" i="70"/>
  <c r="C40" i="70" s="1"/>
  <c r="F19" i="70"/>
  <c r="F20" i="70" s="1"/>
  <c r="F21" i="70" s="1"/>
  <c r="F22" i="70" s="1"/>
  <c r="G19" i="70"/>
  <c r="G20" i="70" s="1"/>
  <c r="G21" i="70" s="1"/>
  <c r="G22" i="70" s="1"/>
  <c r="B19" i="70"/>
  <c r="C19" i="70"/>
  <c r="B34" i="69"/>
  <c r="B15" i="66"/>
  <c r="B16" i="66" s="1"/>
  <c r="B18" i="66" s="1"/>
  <c r="B19" i="66" s="1"/>
  <c r="F28" i="66"/>
  <c r="C15" i="66"/>
  <c r="C16" i="66" s="1"/>
  <c r="C18" i="66" s="1"/>
  <c r="C19" i="66" s="1"/>
  <c r="B35" i="66"/>
  <c r="B36" i="66" s="1"/>
  <c r="F25" i="66"/>
  <c r="D25" i="66"/>
  <c r="B26" i="66"/>
  <c r="B29" i="66" s="1"/>
  <c r="F17" i="66"/>
  <c r="F18" i="66" s="1"/>
  <c r="G16" i="66"/>
  <c r="G17" i="66" s="1"/>
  <c r="G18" i="66" s="1"/>
  <c r="B32" i="66"/>
  <c r="B34" i="66" s="1"/>
  <c r="B15" i="65"/>
  <c r="B16" i="65" s="1"/>
  <c r="B18" i="65" s="1"/>
  <c r="C15" i="65"/>
  <c r="C16" i="65" s="1"/>
  <c r="C18" i="65" s="1"/>
  <c r="F28" i="65"/>
  <c r="B35" i="65"/>
  <c r="B36" i="65" s="1"/>
  <c r="F25" i="65"/>
  <c r="D25" i="65"/>
  <c r="G18" i="65"/>
  <c r="G19" i="65"/>
  <c r="G20" i="65" s="1"/>
  <c r="G21" i="65" s="1"/>
  <c r="G22" i="65" s="1"/>
  <c r="F10" i="65"/>
  <c r="B26" i="65"/>
  <c r="B29" i="65" s="1"/>
  <c r="K10" i="65"/>
  <c r="F19" i="65"/>
  <c r="F20" i="65" s="1"/>
  <c r="F21" i="65" s="1"/>
  <c r="F22" i="65" s="1"/>
  <c r="B32" i="65"/>
  <c r="K10" i="64"/>
  <c r="C15" i="64"/>
  <c r="C16" i="64" s="1"/>
  <c r="C18" i="64" s="1"/>
  <c r="F28" i="64"/>
  <c r="B15" i="64"/>
  <c r="B16" i="64" s="1"/>
  <c r="B18" i="64" s="1"/>
  <c r="F19" i="64"/>
  <c r="F20" i="64" s="1"/>
  <c r="F21" i="64" s="1"/>
  <c r="F22" i="64" s="1"/>
  <c r="B35" i="64"/>
  <c r="B36" i="64" s="1"/>
  <c r="F19" i="63"/>
  <c r="F20" i="63" s="1"/>
  <c r="F21" i="63" s="1"/>
  <c r="F22" i="63" s="1"/>
  <c r="B15" i="63"/>
  <c r="B16" i="63" s="1"/>
  <c r="B18" i="63" s="1"/>
  <c r="K10" i="63"/>
  <c r="F25" i="64"/>
  <c r="D25" i="64"/>
  <c r="B26" i="64"/>
  <c r="B29" i="64" s="1"/>
  <c r="F17" i="64"/>
  <c r="F18" i="64" s="1"/>
  <c r="G16" i="64"/>
  <c r="G17" i="64" s="1"/>
  <c r="G18" i="64" s="1"/>
  <c r="B32" i="64"/>
  <c r="C15" i="63"/>
  <c r="C16" i="63" s="1"/>
  <c r="C18" i="63" s="1"/>
  <c r="F28" i="63"/>
  <c r="B35" i="63"/>
  <c r="B36" i="63" s="1"/>
  <c r="F25" i="63"/>
  <c r="D25" i="63"/>
  <c r="G19" i="63"/>
  <c r="G20" i="63" s="1"/>
  <c r="G21" i="63" s="1"/>
  <c r="G22" i="63" s="1"/>
  <c r="B32" i="63"/>
  <c r="F10" i="63"/>
  <c r="B26" i="63"/>
  <c r="B29" i="63" s="1"/>
  <c r="F17" i="63"/>
  <c r="F18" i="63" s="1"/>
  <c r="F28" i="62"/>
  <c r="C15" i="62"/>
  <c r="C16" i="62" s="1"/>
  <c r="C18" i="62" s="1"/>
  <c r="C19" i="62" s="1"/>
  <c r="F19" i="62"/>
  <c r="F20" i="62" s="1"/>
  <c r="F21" i="62" s="1"/>
  <c r="F22" i="62" s="1"/>
  <c r="B15" i="62"/>
  <c r="B16" i="62" s="1"/>
  <c r="B18" i="62" s="1"/>
  <c r="B19" i="62" s="1"/>
  <c r="B35" i="62"/>
  <c r="B36" i="62" s="1"/>
  <c r="F25" i="62"/>
  <c r="D25" i="62"/>
  <c r="G19" i="62"/>
  <c r="G20" i="62" s="1"/>
  <c r="G21" i="62" s="1"/>
  <c r="G22" i="62" s="1"/>
  <c r="B26" i="62"/>
  <c r="B29" i="62" s="1"/>
  <c r="F17" i="62"/>
  <c r="F18" i="62" s="1"/>
  <c r="G18" i="62"/>
  <c r="B32" i="62"/>
  <c r="B35" i="61"/>
  <c r="B36" i="61" s="1"/>
  <c r="B15" i="61"/>
  <c r="B16" i="61" s="1"/>
  <c r="B18" i="61" s="1"/>
  <c r="B19" i="61" s="1"/>
  <c r="F25" i="61"/>
  <c r="D25" i="61"/>
  <c r="B26" i="61"/>
  <c r="B29" i="61" s="1"/>
  <c r="F29" i="61" s="1"/>
  <c r="G16" i="61"/>
  <c r="G17" i="61" s="1"/>
  <c r="G18" i="61" s="1"/>
  <c r="B32" i="61"/>
  <c r="F17" i="61"/>
  <c r="F18" i="61" s="1"/>
  <c r="C15" i="59"/>
  <c r="C16" i="59" s="1"/>
  <c r="C18" i="59" s="1"/>
  <c r="F28" i="59"/>
  <c r="B15" i="59"/>
  <c r="B16" i="59" s="1"/>
  <c r="B18" i="59" s="1"/>
  <c r="K10" i="59"/>
  <c r="B35" i="59"/>
  <c r="B36" i="59" s="1"/>
  <c r="F19" i="59"/>
  <c r="F20" i="59" s="1"/>
  <c r="F21" i="59" s="1"/>
  <c r="F22" i="59" s="1"/>
  <c r="F25" i="59"/>
  <c r="D25" i="59"/>
  <c r="B26" i="59"/>
  <c r="B29" i="59" s="1"/>
  <c r="G16" i="59"/>
  <c r="G17" i="59" s="1"/>
  <c r="G18" i="59" s="1"/>
  <c r="B32" i="59"/>
  <c r="F17" i="59"/>
  <c r="F18" i="59" s="1"/>
  <c r="B15" i="58"/>
  <c r="B16" i="58" s="1"/>
  <c r="B18" i="58" s="1"/>
  <c r="F28" i="58"/>
  <c r="C15" i="58"/>
  <c r="C16" i="58" s="1"/>
  <c r="C18" i="58" s="1"/>
  <c r="K10" i="58"/>
  <c r="B35" i="58"/>
  <c r="B36" i="58" s="1"/>
  <c r="F25" i="58"/>
  <c r="D25" i="58"/>
  <c r="F19" i="58"/>
  <c r="F20" i="58" s="1"/>
  <c r="F21" i="58" s="1"/>
  <c r="F22" i="58" s="1"/>
  <c r="G16" i="58"/>
  <c r="G17" i="58" s="1"/>
  <c r="G18" i="58" s="1"/>
  <c r="B32" i="58"/>
  <c r="B26" i="58"/>
  <c r="B29" i="58" s="1"/>
  <c r="K10" i="57"/>
  <c r="C15" i="57"/>
  <c r="C16" i="57" s="1"/>
  <c r="C18" i="57" s="1"/>
  <c r="F19" i="57"/>
  <c r="F20" i="57" s="1"/>
  <c r="F21" i="57" s="1"/>
  <c r="F22" i="57" s="1"/>
  <c r="B15" i="57"/>
  <c r="B16" i="57" s="1"/>
  <c r="B18" i="57" s="1"/>
  <c r="F28" i="57"/>
  <c r="B35" i="57"/>
  <c r="B36" i="57" s="1"/>
  <c r="F25" i="57"/>
  <c r="D25" i="57"/>
  <c r="B26" i="57"/>
  <c r="B29" i="57" s="1"/>
  <c r="F29" i="57" s="1"/>
  <c r="F17" i="57"/>
  <c r="F18" i="57" s="1"/>
  <c r="G16" i="57"/>
  <c r="G17" i="57" s="1"/>
  <c r="G18" i="57" s="1"/>
  <c r="B32" i="57"/>
  <c r="B35" i="55"/>
  <c r="B36" i="55" s="1"/>
  <c r="B19" i="55"/>
  <c r="F25" i="55"/>
  <c r="D25" i="55"/>
  <c r="B29" i="55"/>
  <c r="F29" i="55" s="1"/>
  <c r="B26" i="55"/>
  <c r="F19" i="55"/>
  <c r="F20" i="55" s="1"/>
  <c r="F21" i="55" s="1"/>
  <c r="F22" i="55" s="1"/>
  <c r="G16" i="55"/>
  <c r="G17" i="55" s="1"/>
  <c r="G18" i="55" s="1"/>
  <c r="B32" i="55"/>
  <c r="D25" i="54"/>
  <c r="F25" i="54"/>
  <c r="B26" i="54"/>
  <c r="B29" i="54" s="1"/>
  <c r="F29" i="54" s="1"/>
  <c r="K10" i="54"/>
  <c r="F16" i="54"/>
  <c r="F17" i="54" s="1"/>
  <c r="F18" i="54" s="1"/>
  <c r="G16" i="54"/>
  <c r="G17" i="54" s="1"/>
  <c r="G18" i="54" s="1"/>
  <c r="F8" i="53"/>
  <c r="F10" i="53" s="1"/>
  <c r="B42" i="53"/>
  <c r="F35" i="53"/>
  <c r="B33" i="53"/>
  <c r="F32" i="53"/>
  <c r="F31" i="53"/>
  <c r="F33" i="53" s="1"/>
  <c r="F24" i="53"/>
  <c r="C22" i="53"/>
  <c r="B22" i="53"/>
  <c r="F16" i="53" s="1"/>
  <c r="C17" i="53"/>
  <c r="B17" i="53"/>
  <c r="G15" i="53"/>
  <c r="F15" i="53"/>
  <c r="B24" i="53"/>
  <c r="B25" i="53" s="1"/>
  <c r="F8" i="52"/>
  <c r="F10" i="52" s="1"/>
  <c r="B42" i="52"/>
  <c r="F35" i="52"/>
  <c r="B33" i="52"/>
  <c r="F32" i="52"/>
  <c r="F31" i="52"/>
  <c r="F33" i="52" s="1"/>
  <c r="F24" i="52"/>
  <c r="C22" i="52"/>
  <c r="B22" i="52"/>
  <c r="F16" i="52" s="1"/>
  <c r="C17" i="52"/>
  <c r="B17" i="52"/>
  <c r="G15" i="52"/>
  <c r="F15" i="52"/>
  <c r="B24" i="52"/>
  <c r="B25" i="52" s="1"/>
  <c r="F8" i="51"/>
  <c r="F7" i="51"/>
  <c r="B42" i="51"/>
  <c r="F35" i="51"/>
  <c r="B33" i="51"/>
  <c r="F32" i="51"/>
  <c r="F31" i="51"/>
  <c r="F33" i="51" s="1"/>
  <c r="F28" i="51"/>
  <c r="F24" i="51"/>
  <c r="C22" i="51"/>
  <c r="B22" i="51"/>
  <c r="F16" i="51" s="1"/>
  <c r="C17" i="51"/>
  <c r="B17" i="51"/>
  <c r="G15" i="51"/>
  <c r="F15" i="51"/>
  <c r="B24" i="51"/>
  <c r="B25" i="51" s="1"/>
  <c r="B15" i="50"/>
  <c r="B16" i="50" s="1"/>
  <c r="B42" i="50"/>
  <c r="F35" i="50"/>
  <c r="B33" i="50"/>
  <c r="F32" i="50"/>
  <c r="F31" i="50"/>
  <c r="F33" i="50" s="1"/>
  <c r="F28" i="50"/>
  <c r="F24" i="50"/>
  <c r="C22" i="50"/>
  <c r="B22" i="50"/>
  <c r="F16" i="50" s="1"/>
  <c r="F19" i="50" s="1"/>
  <c r="F20" i="50" s="1"/>
  <c r="C17" i="50"/>
  <c r="B17" i="50"/>
  <c r="G15" i="50"/>
  <c r="F15" i="50"/>
  <c r="B24" i="50"/>
  <c r="B25" i="50" s="1"/>
  <c r="K10" i="50"/>
  <c r="C15" i="50"/>
  <c r="C16" i="50" s="1"/>
  <c r="F6" i="46"/>
  <c r="B42" i="49"/>
  <c r="F35" i="49"/>
  <c r="B33" i="49"/>
  <c r="F32" i="49"/>
  <c r="F31" i="49"/>
  <c r="F33" i="49" s="1"/>
  <c r="C22" i="49"/>
  <c r="B22" i="49"/>
  <c r="C17" i="49"/>
  <c r="B17" i="49"/>
  <c r="G15" i="49"/>
  <c r="F15" i="49"/>
  <c r="B32" i="49"/>
  <c r="F10" i="49"/>
  <c r="F24" i="49"/>
  <c r="C15" i="49"/>
  <c r="C16" i="49" s="1"/>
  <c r="F9" i="48"/>
  <c r="F8" i="48"/>
  <c r="F6" i="48"/>
  <c r="B42" i="48"/>
  <c r="F35" i="48"/>
  <c r="B33" i="48"/>
  <c r="F32" i="48"/>
  <c r="F31" i="48"/>
  <c r="F33" i="48" s="1"/>
  <c r="B28" i="48"/>
  <c r="F24" i="48"/>
  <c r="C22" i="48"/>
  <c r="B22" i="48"/>
  <c r="F16" i="48" s="1"/>
  <c r="C17" i="48"/>
  <c r="B17" i="48"/>
  <c r="G15" i="48"/>
  <c r="F15" i="48"/>
  <c r="B32" i="48"/>
  <c r="F6" i="47"/>
  <c r="F7" i="47"/>
  <c r="F9" i="47"/>
  <c r="F24" i="47" s="1"/>
  <c r="B42" i="47"/>
  <c r="F35" i="47"/>
  <c r="B33" i="47"/>
  <c r="F32" i="47"/>
  <c r="F31" i="47"/>
  <c r="F33" i="47" s="1"/>
  <c r="F28" i="47"/>
  <c r="C22" i="47"/>
  <c r="B22" i="47"/>
  <c r="F16" i="47" s="1"/>
  <c r="C17" i="47"/>
  <c r="B17" i="47"/>
  <c r="G15" i="47"/>
  <c r="F15" i="47"/>
  <c r="B24" i="47"/>
  <c r="B25" i="47" s="1"/>
  <c r="K10" i="46"/>
  <c r="F9" i="46"/>
  <c r="F24" i="46" s="1"/>
  <c r="F8" i="46"/>
  <c r="F7" i="46"/>
  <c r="B42" i="46"/>
  <c r="F35" i="46"/>
  <c r="B33" i="46"/>
  <c r="F32" i="46"/>
  <c r="F31" i="46"/>
  <c r="F33" i="46" s="1"/>
  <c r="C22" i="46"/>
  <c r="B22" i="46"/>
  <c r="F16" i="46" s="1"/>
  <c r="C17" i="46"/>
  <c r="B17" i="46"/>
  <c r="G15" i="46"/>
  <c r="F15" i="46"/>
  <c r="F8" i="6"/>
  <c r="F9" i="45"/>
  <c r="F24" i="45" s="1"/>
  <c r="F7" i="45"/>
  <c r="F10" i="45" s="1"/>
  <c r="F6" i="45"/>
  <c r="B15" i="45"/>
  <c r="B16" i="45" s="1"/>
  <c r="B42" i="45"/>
  <c r="F35" i="45"/>
  <c r="B33" i="45"/>
  <c r="F32" i="45"/>
  <c r="F31" i="45"/>
  <c r="F33" i="45" s="1"/>
  <c r="C22" i="45"/>
  <c r="B22" i="45"/>
  <c r="F16" i="45" s="1"/>
  <c r="F19" i="45" s="1"/>
  <c r="F20" i="45" s="1"/>
  <c r="C17" i="45"/>
  <c r="B17" i="45"/>
  <c r="G15" i="45"/>
  <c r="F15" i="45"/>
  <c r="B24" i="45"/>
  <c r="B25" i="45" s="1"/>
  <c r="F8" i="44"/>
  <c r="B15" i="44"/>
  <c r="B16" i="44" s="1"/>
  <c r="B42" i="44"/>
  <c r="F35" i="44"/>
  <c r="B33" i="44"/>
  <c r="F32" i="44"/>
  <c r="F31" i="44"/>
  <c r="F33" i="44" s="1"/>
  <c r="F28" i="44"/>
  <c r="F24" i="44"/>
  <c r="C22" i="44"/>
  <c r="B22" i="44"/>
  <c r="F16" i="44" s="1"/>
  <c r="C17" i="44"/>
  <c r="B17" i="44"/>
  <c r="G15" i="44"/>
  <c r="F15" i="44"/>
  <c r="B24" i="44"/>
  <c r="B25" i="44" s="1"/>
  <c r="K10" i="44"/>
  <c r="C15" i="44"/>
  <c r="C16" i="44" s="1"/>
  <c r="B42" i="43"/>
  <c r="F35" i="43"/>
  <c r="B33" i="43"/>
  <c r="F32" i="43"/>
  <c r="F31" i="43"/>
  <c r="F33" i="43" s="1"/>
  <c r="F28" i="43"/>
  <c r="B24" i="43"/>
  <c r="B25" i="43" s="1"/>
  <c r="C22" i="43"/>
  <c r="B22" i="43"/>
  <c r="C17" i="43"/>
  <c r="B17" i="43"/>
  <c r="G15" i="43"/>
  <c r="F15" i="43"/>
  <c r="B32" i="43"/>
  <c r="K10" i="43"/>
  <c r="F24" i="43"/>
  <c r="F8" i="43"/>
  <c r="F10" i="43" s="1"/>
  <c r="C15" i="43"/>
  <c r="C16" i="43" s="1"/>
  <c r="C18" i="43" s="1"/>
  <c r="B15" i="43"/>
  <c r="B16" i="43" s="1"/>
  <c r="F10" i="46" l="1"/>
  <c r="C18" i="49"/>
  <c r="C18" i="50"/>
  <c r="B18" i="43"/>
  <c r="B19" i="43" s="1"/>
  <c r="C18" i="44"/>
  <c r="B18" i="44"/>
  <c r="B18" i="50"/>
  <c r="F17" i="52"/>
  <c r="F10" i="51"/>
  <c r="C19" i="57"/>
  <c r="B18" i="45"/>
  <c r="C19" i="63"/>
  <c r="B19" i="63"/>
  <c r="B19" i="64"/>
  <c r="F17" i="44"/>
  <c r="F18" i="44" s="1"/>
  <c r="F17" i="48"/>
  <c r="F18" i="48" s="1"/>
  <c r="F21" i="50"/>
  <c r="F22" i="50" s="1"/>
  <c r="B35" i="50"/>
  <c r="B36" i="50" s="1"/>
  <c r="F17" i="51"/>
  <c r="F18" i="51" s="1"/>
  <c r="D39" i="54"/>
  <c r="F19" i="54"/>
  <c r="F20" i="54" s="1"/>
  <c r="F21" i="54" s="1"/>
  <c r="F22" i="54" s="1"/>
  <c r="E40" i="74"/>
  <c r="G40" i="74"/>
  <c r="B35" i="43"/>
  <c r="B36" i="43" s="1"/>
  <c r="C19" i="44"/>
  <c r="C38" i="54"/>
  <c r="C39" i="54" s="1"/>
  <c r="F40" i="54" s="1"/>
  <c r="C19" i="50"/>
  <c r="B19" i="57"/>
  <c r="B19" i="59"/>
  <c r="F29" i="62"/>
  <c r="G38" i="54"/>
  <c r="G39" i="54" s="1"/>
  <c r="E38" i="54"/>
  <c r="E39" i="54" s="1"/>
  <c r="C19" i="64"/>
  <c r="F38" i="54"/>
  <c r="F39" i="54" s="1"/>
  <c r="F29" i="58"/>
  <c r="F29" i="64"/>
  <c r="C19" i="43"/>
  <c r="B34" i="43"/>
  <c r="F38" i="43" s="1"/>
  <c r="F29" i="59"/>
  <c r="F29" i="66"/>
  <c r="C40" i="73"/>
  <c r="F40" i="73"/>
  <c r="D40" i="73"/>
  <c r="D38" i="72"/>
  <c r="D39" i="72" s="1"/>
  <c r="C38" i="72"/>
  <c r="C39" i="72" s="1"/>
  <c r="E38" i="72"/>
  <c r="E39" i="72" s="1"/>
  <c r="F38" i="72"/>
  <c r="F39" i="72" s="1"/>
  <c r="G38" i="72"/>
  <c r="G39" i="72" s="1"/>
  <c r="D38" i="71"/>
  <c r="D39" i="71" s="1"/>
  <c r="E38" i="71"/>
  <c r="C38" i="71"/>
  <c r="C39" i="71" s="1"/>
  <c r="F38" i="71"/>
  <c r="F39" i="71" s="1"/>
  <c r="G38" i="71"/>
  <c r="G39" i="71" s="1"/>
  <c r="E39" i="71"/>
  <c r="F40" i="70"/>
  <c r="G40" i="70" s="1"/>
  <c r="D40" i="70"/>
  <c r="E40" i="70" s="1"/>
  <c r="D38" i="69"/>
  <c r="D39" i="69" s="1"/>
  <c r="F38" i="69"/>
  <c r="F39" i="69" s="1"/>
  <c r="C38" i="69"/>
  <c r="C39" i="69" s="1"/>
  <c r="E38" i="69"/>
  <c r="E39" i="69" s="1"/>
  <c r="G38" i="69"/>
  <c r="G39" i="69" s="1"/>
  <c r="D38" i="66"/>
  <c r="D39" i="66" s="1"/>
  <c r="F38" i="66"/>
  <c r="F39" i="66" s="1"/>
  <c r="E38" i="66"/>
  <c r="E39" i="66" s="1"/>
  <c r="C38" i="66"/>
  <c r="C39" i="66" s="1"/>
  <c r="G38" i="66"/>
  <c r="G39" i="66" s="1"/>
  <c r="G19" i="66"/>
  <c r="G20" i="66" s="1"/>
  <c r="G21" i="66" s="1"/>
  <c r="G22" i="66" s="1"/>
  <c r="F29" i="65"/>
  <c r="B19" i="65"/>
  <c r="C19" i="65"/>
  <c r="B34" i="65"/>
  <c r="F29" i="63"/>
  <c r="G19" i="64"/>
  <c r="G20" i="64" s="1"/>
  <c r="G21" i="64" s="1"/>
  <c r="G22" i="64" s="1"/>
  <c r="B34" i="64"/>
  <c r="B34" i="63"/>
  <c r="B34" i="62"/>
  <c r="B34" i="61"/>
  <c r="G19" i="61"/>
  <c r="G20" i="61" s="1"/>
  <c r="G21" i="61" s="1"/>
  <c r="G22" i="61" s="1"/>
  <c r="C19" i="59"/>
  <c r="G19" i="59"/>
  <c r="G20" i="59" s="1"/>
  <c r="G21" i="59" s="1"/>
  <c r="G22" i="59" s="1"/>
  <c r="B19" i="58"/>
  <c r="B34" i="59"/>
  <c r="C19" i="58"/>
  <c r="G19" i="58"/>
  <c r="G20" i="58" s="1"/>
  <c r="G21" i="58" s="1"/>
  <c r="G22" i="58" s="1"/>
  <c r="B34" i="58"/>
  <c r="G19" i="57"/>
  <c r="G20" i="57" s="1"/>
  <c r="G21" i="57" s="1"/>
  <c r="G22" i="57" s="1"/>
  <c r="B34" i="57"/>
  <c r="G19" i="55"/>
  <c r="G20" i="55" s="1"/>
  <c r="G21" i="55" s="1"/>
  <c r="G22" i="55" s="1"/>
  <c r="B34" i="55"/>
  <c r="G19" i="54"/>
  <c r="G20" i="54" s="1"/>
  <c r="G21" i="54" s="1"/>
  <c r="G22" i="54" s="1"/>
  <c r="C19" i="54"/>
  <c r="B19" i="54"/>
  <c r="B15" i="53"/>
  <c r="B16" i="53" s="1"/>
  <c r="B18" i="53" s="1"/>
  <c r="C15" i="53"/>
  <c r="C16" i="53" s="1"/>
  <c r="C18" i="53" s="1"/>
  <c r="F28" i="53"/>
  <c r="K10" i="53"/>
  <c r="F19" i="53"/>
  <c r="F20" i="53" s="1"/>
  <c r="F21" i="53" s="1"/>
  <c r="F22" i="53" s="1"/>
  <c r="B35" i="53"/>
  <c r="B36" i="53" s="1"/>
  <c r="F25" i="53"/>
  <c r="D25" i="53"/>
  <c r="B26" i="53"/>
  <c r="B29" i="53" s="1"/>
  <c r="F17" i="53"/>
  <c r="F18" i="53" s="1"/>
  <c r="G16" i="53"/>
  <c r="G17" i="53" s="1"/>
  <c r="G18" i="53" s="1"/>
  <c r="B32" i="53"/>
  <c r="B34" i="49"/>
  <c r="D38" i="49" s="1"/>
  <c r="B15" i="49"/>
  <c r="B16" i="49" s="1"/>
  <c r="B18" i="49" s="1"/>
  <c r="K10" i="49"/>
  <c r="C19" i="49" s="1"/>
  <c r="B24" i="49"/>
  <c r="B25" i="49" s="1"/>
  <c r="D25" i="49" s="1"/>
  <c r="F28" i="49"/>
  <c r="B35" i="49"/>
  <c r="B36" i="49" s="1"/>
  <c r="C15" i="52"/>
  <c r="C16" i="52" s="1"/>
  <c r="C18" i="52" s="1"/>
  <c r="F28" i="52"/>
  <c r="F19" i="52"/>
  <c r="F20" i="52" s="1"/>
  <c r="F21" i="52" s="1"/>
  <c r="F22" i="52" s="1"/>
  <c r="K10" i="52"/>
  <c r="B15" i="52"/>
  <c r="B16" i="52" s="1"/>
  <c r="B18" i="52" s="1"/>
  <c r="B35" i="52"/>
  <c r="B36" i="52" s="1"/>
  <c r="F25" i="52"/>
  <c r="D25" i="52"/>
  <c r="F18" i="52"/>
  <c r="B26" i="52"/>
  <c r="B29" i="52" s="1"/>
  <c r="G16" i="52"/>
  <c r="G17" i="52" s="1"/>
  <c r="G18" i="52" s="1"/>
  <c r="B32" i="52"/>
  <c r="B34" i="52" s="1"/>
  <c r="B15" i="51"/>
  <c r="B16" i="51" s="1"/>
  <c r="B18" i="51" s="1"/>
  <c r="B35" i="51"/>
  <c r="B36" i="51" s="1"/>
  <c r="K10" i="51"/>
  <c r="C15" i="51"/>
  <c r="C16" i="51" s="1"/>
  <c r="C18" i="51" s="1"/>
  <c r="F25" i="51"/>
  <c r="D25" i="51"/>
  <c r="F19" i="51"/>
  <c r="F20" i="51" s="1"/>
  <c r="F21" i="51" s="1"/>
  <c r="F22" i="51" s="1"/>
  <c r="G16" i="51"/>
  <c r="G17" i="51" s="1"/>
  <c r="G18" i="51" s="1"/>
  <c r="B32" i="51"/>
  <c r="B26" i="51"/>
  <c r="B29" i="51" s="1"/>
  <c r="F29" i="51" s="1"/>
  <c r="F10" i="50"/>
  <c r="B19" i="50"/>
  <c r="F25" i="50"/>
  <c r="D25" i="50"/>
  <c r="B26" i="50"/>
  <c r="B29" i="50" s="1"/>
  <c r="F29" i="50" s="1"/>
  <c r="F17" i="50"/>
  <c r="F18" i="50" s="1"/>
  <c r="G16" i="50"/>
  <c r="G17" i="50" s="1"/>
  <c r="G18" i="50" s="1"/>
  <c r="B32" i="50"/>
  <c r="F16" i="49"/>
  <c r="F17" i="49" s="1"/>
  <c r="F18" i="49" s="1"/>
  <c r="G16" i="49"/>
  <c r="G17" i="49" s="1"/>
  <c r="G18" i="49" s="1"/>
  <c r="F10" i="48"/>
  <c r="B24" i="48"/>
  <c r="B25" i="48" s="1"/>
  <c r="F25" i="48" s="1"/>
  <c r="B35" i="48"/>
  <c r="B36" i="48" s="1"/>
  <c r="B15" i="48"/>
  <c r="B16" i="48" s="1"/>
  <c r="B18" i="48" s="1"/>
  <c r="B34" i="48"/>
  <c r="D38" i="48" s="1"/>
  <c r="C15" i="48"/>
  <c r="C16" i="48" s="1"/>
  <c r="C18" i="48" s="1"/>
  <c r="K10" i="48"/>
  <c r="F28" i="48"/>
  <c r="F19" i="48"/>
  <c r="F20" i="48" s="1"/>
  <c r="F21" i="48" s="1"/>
  <c r="F22" i="48" s="1"/>
  <c r="G16" i="48"/>
  <c r="G17" i="48" s="1"/>
  <c r="G18" i="48" s="1"/>
  <c r="K10" i="47"/>
  <c r="C15" i="47"/>
  <c r="C16" i="47" s="1"/>
  <c r="C18" i="47" s="1"/>
  <c r="B35" i="47"/>
  <c r="B36" i="47" s="1"/>
  <c r="B15" i="47"/>
  <c r="B16" i="47" s="1"/>
  <c r="B18" i="47" s="1"/>
  <c r="F10" i="47"/>
  <c r="F19" i="47"/>
  <c r="F20" i="47" s="1"/>
  <c r="F21" i="47" s="1"/>
  <c r="F22" i="47" s="1"/>
  <c r="F25" i="47"/>
  <c r="D25" i="47"/>
  <c r="B26" i="47"/>
  <c r="B29" i="47" s="1"/>
  <c r="F29" i="47" s="1"/>
  <c r="F17" i="47"/>
  <c r="F18" i="47" s="1"/>
  <c r="G16" i="47"/>
  <c r="G17" i="47" s="1"/>
  <c r="G18" i="47" s="1"/>
  <c r="B32" i="47"/>
  <c r="B34" i="47" s="1"/>
  <c r="B24" i="46"/>
  <c r="B25" i="46" s="1"/>
  <c r="F25" i="46" s="1"/>
  <c r="F19" i="46"/>
  <c r="F20" i="46" s="1"/>
  <c r="F21" i="46" s="1"/>
  <c r="F22" i="46" s="1"/>
  <c r="B15" i="46"/>
  <c r="B16" i="46" s="1"/>
  <c r="B18" i="46" s="1"/>
  <c r="B19" i="46" s="1"/>
  <c r="F28" i="46"/>
  <c r="C15" i="46"/>
  <c r="C16" i="46" s="1"/>
  <c r="C18" i="46" s="1"/>
  <c r="C19" i="46" s="1"/>
  <c r="B35" i="46"/>
  <c r="B36" i="46" s="1"/>
  <c r="F17" i="46"/>
  <c r="F18" i="46" s="1"/>
  <c r="G16" i="46"/>
  <c r="G17" i="46" s="1"/>
  <c r="G18" i="46" s="1"/>
  <c r="B32" i="46"/>
  <c r="F21" i="45"/>
  <c r="F22" i="45" s="1"/>
  <c r="C15" i="45"/>
  <c r="C16" i="45" s="1"/>
  <c r="C18" i="45" s="1"/>
  <c r="K10" i="45"/>
  <c r="F28" i="45"/>
  <c r="B35" i="45"/>
  <c r="B36" i="45" s="1"/>
  <c r="F25" i="45"/>
  <c r="D25" i="45"/>
  <c r="B26" i="45"/>
  <c r="B29" i="45" s="1"/>
  <c r="F17" i="45"/>
  <c r="F18" i="45" s="1"/>
  <c r="G16" i="45"/>
  <c r="G17" i="45" s="1"/>
  <c r="G18" i="45" s="1"/>
  <c r="B32" i="45"/>
  <c r="B35" i="44"/>
  <c r="B36" i="44" s="1"/>
  <c r="F10" i="44"/>
  <c r="B19" i="44"/>
  <c r="F25" i="44"/>
  <c r="D25" i="44"/>
  <c r="F19" i="44"/>
  <c r="F20" i="44" s="1"/>
  <c r="F21" i="44" s="1"/>
  <c r="F22" i="44" s="1"/>
  <c r="G16" i="44"/>
  <c r="G17" i="44" s="1"/>
  <c r="G18" i="44" s="1"/>
  <c r="B32" i="44"/>
  <c r="B34" i="44" s="1"/>
  <c r="B26" i="44"/>
  <c r="B29" i="44" s="1"/>
  <c r="F29" i="44" s="1"/>
  <c r="F25" i="43"/>
  <c r="D25" i="43"/>
  <c r="B26" i="43"/>
  <c r="B29" i="43" s="1"/>
  <c r="F29" i="43" s="1"/>
  <c r="F16" i="43"/>
  <c r="F17" i="43" s="1"/>
  <c r="F18" i="43" s="1"/>
  <c r="G16" i="43"/>
  <c r="G17" i="43" s="1"/>
  <c r="G18" i="43" s="1"/>
  <c r="B42" i="42"/>
  <c r="F35" i="42"/>
  <c r="B33" i="42"/>
  <c r="F32" i="42"/>
  <c r="F31" i="42"/>
  <c r="F33" i="42" s="1"/>
  <c r="C22" i="42"/>
  <c r="B22" i="42"/>
  <c r="F16" i="42" s="1"/>
  <c r="C17" i="42"/>
  <c r="B17" i="42"/>
  <c r="G15" i="42"/>
  <c r="F15" i="42"/>
  <c r="B24" i="42"/>
  <c r="B25" i="42" s="1"/>
  <c r="F24" i="42"/>
  <c r="F9" i="41"/>
  <c r="F6" i="41"/>
  <c r="C15" i="41" s="1"/>
  <c r="C16" i="41" s="1"/>
  <c r="B42" i="41"/>
  <c r="F35" i="41"/>
  <c r="B33" i="41"/>
  <c r="F32" i="41"/>
  <c r="F31" i="41"/>
  <c r="F33" i="41" s="1"/>
  <c r="B28" i="41"/>
  <c r="F28" i="41" s="1"/>
  <c r="F24" i="41"/>
  <c r="C22" i="41"/>
  <c r="B22" i="41"/>
  <c r="F16" i="41" s="1"/>
  <c r="F19" i="41" s="1"/>
  <c r="F20" i="41" s="1"/>
  <c r="F21" i="41" s="1"/>
  <c r="F22" i="41" s="1"/>
  <c r="C17" i="41"/>
  <c r="B17" i="41"/>
  <c r="G15" i="41"/>
  <c r="F15" i="41"/>
  <c r="B24" i="41"/>
  <c r="B25" i="41" s="1"/>
  <c r="K10" i="41"/>
  <c r="F10" i="41"/>
  <c r="B15" i="41"/>
  <c r="B16" i="41" s="1"/>
  <c r="F9" i="40"/>
  <c r="F24" i="40" s="1"/>
  <c r="F10" i="40"/>
  <c r="C15" i="40"/>
  <c r="C16" i="40" s="1"/>
  <c r="B15" i="40"/>
  <c r="B16" i="40" s="1"/>
  <c r="B42" i="40"/>
  <c r="F35" i="40"/>
  <c r="B33" i="40"/>
  <c r="F32" i="40"/>
  <c r="F31" i="40"/>
  <c r="F33" i="40" s="1"/>
  <c r="F28" i="40"/>
  <c r="C22" i="40"/>
  <c r="B22" i="40"/>
  <c r="F16" i="40" s="1"/>
  <c r="F19" i="40" s="1"/>
  <c r="F20" i="40" s="1"/>
  <c r="C17" i="40"/>
  <c r="B17" i="40"/>
  <c r="G15" i="40"/>
  <c r="F15" i="40"/>
  <c r="B24" i="40"/>
  <c r="B25" i="40" s="1"/>
  <c r="K10" i="40"/>
  <c r="F28" i="39"/>
  <c r="F9" i="39"/>
  <c r="F24" i="39" s="1"/>
  <c r="F8" i="39"/>
  <c r="F7" i="39"/>
  <c r="F6" i="39"/>
  <c r="C15" i="39" s="1"/>
  <c r="C16" i="39" s="1"/>
  <c r="B15" i="39"/>
  <c r="B16" i="39" s="1"/>
  <c r="B42" i="39"/>
  <c r="F35" i="39"/>
  <c r="B33" i="39"/>
  <c r="F32" i="39"/>
  <c r="F31" i="39"/>
  <c r="F33" i="39" s="1"/>
  <c r="C22" i="39"/>
  <c r="B22" i="39"/>
  <c r="F16" i="39" s="1"/>
  <c r="C17" i="39"/>
  <c r="B17" i="39"/>
  <c r="G15" i="39"/>
  <c r="F15" i="39"/>
  <c r="B24" i="39"/>
  <c r="B25" i="39" s="1"/>
  <c r="K10" i="39"/>
  <c r="F28" i="37"/>
  <c r="F9" i="38"/>
  <c r="F24" i="38" s="1"/>
  <c r="F7" i="38"/>
  <c r="F10" i="38" s="1"/>
  <c r="B42" i="38"/>
  <c r="F35" i="38"/>
  <c r="B33" i="38"/>
  <c r="F32" i="38"/>
  <c r="F31" i="38"/>
  <c r="F33" i="38" s="1"/>
  <c r="H27" i="38"/>
  <c r="C22" i="38"/>
  <c r="B22" i="38"/>
  <c r="F16" i="38" s="1"/>
  <c r="F19" i="38" s="1"/>
  <c r="F20" i="38" s="1"/>
  <c r="C17" i="38"/>
  <c r="B17" i="38"/>
  <c r="G15" i="38"/>
  <c r="F15" i="38"/>
  <c r="B24" i="38"/>
  <c r="B25" i="38" s="1"/>
  <c r="H3" i="38"/>
  <c r="H2" i="38"/>
  <c r="F7" i="37"/>
  <c r="C15" i="37"/>
  <c r="C16" i="37" s="1"/>
  <c r="F5" i="37"/>
  <c r="B15" i="37" s="1"/>
  <c r="B16" i="37" s="1"/>
  <c r="B42" i="37"/>
  <c r="F35" i="37"/>
  <c r="B33" i="37"/>
  <c r="F32" i="37"/>
  <c r="F31" i="37"/>
  <c r="F33" i="37" s="1"/>
  <c r="H27" i="37"/>
  <c r="C22" i="37"/>
  <c r="B22" i="37"/>
  <c r="F16" i="37" s="1"/>
  <c r="F19" i="37" s="1"/>
  <c r="F20" i="37" s="1"/>
  <c r="C17" i="37"/>
  <c r="B17" i="37"/>
  <c r="G15" i="37"/>
  <c r="F15" i="37"/>
  <c r="K10" i="37"/>
  <c r="F24" i="37"/>
  <c r="H3" i="37"/>
  <c r="H2" i="37"/>
  <c r="F9" i="36"/>
  <c r="F24" i="36" s="1"/>
  <c r="F8" i="36"/>
  <c r="F5" i="36"/>
  <c r="B42" i="36"/>
  <c r="F35" i="36"/>
  <c r="B33" i="36"/>
  <c r="F32" i="36"/>
  <c r="F31" i="36"/>
  <c r="F33" i="36" s="1"/>
  <c r="B28" i="36"/>
  <c r="F28" i="36" s="1"/>
  <c r="H27" i="36"/>
  <c r="C22" i="36"/>
  <c r="G16" i="36" s="1"/>
  <c r="B22" i="36"/>
  <c r="F16" i="36" s="1"/>
  <c r="C17" i="36"/>
  <c r="B17" i="36"/>
  <c r="G15" i="36"/>
  <c r="F15" i="36"/>
  <c r="B32" i="36"/>
  <c r="H3" i="36"/>
  <c r="H2" i="36"/>
  <c r="B42" i="35"/>
  <c r="F35" i="35"/>
  <c r="B33" i="35"/>
  <c r="F32" i="35"/>
  <c r="F31" i="35"/>
  <c r="F33" i="35" s="1"/>
  <c r="H27" i="35"/>
  <c r="C22" i="35"/>
  <c r="G16" i="35" s="1"/>
  <c r="B22" i="35"/>
  <c r="F16" i="35" s="1"/>
  <c r="C17" i="35"/>
  <c r="B17" i="35"/>
  <c r="G15" i="35"/>
  <c r="F15" i="35"/>
  <c r="B32" i="35"/>
  <c r="F10" i="35"/>
  <c r="F24" i="35"/>
  <c r="H3" i="35"/>
  <c r="H2" i="35"/>
  <c r="C15" i="33"/>
  <c r="C16" i="33" s="1"/>
  <c r="B42" i="34"/>
  <c r="F35" i="34"/>
  <c r="B33" i="34"/>
  <c r="F32" i="34"/>
  <c r="F31" i="34"/>
  <c r="F33" i="34" s="1"/>
  <c r="F28" i="34"/>
  <c r="F24" i="34"/>
  <c r="C22" i="34"/>
  <c r="B22" i="34"/>
  <c r="F16" i="34" s="1"/>
  <c r="F19" i="34" s="1"/>
  <c r="F20" i="34" s="1"/>
  <c r="F21" i="34" s="1"/>
  <c r="F22" i="34" s="1"/>
  <c r="C17" i="34"/>
  <c r="B17" i="34"/>
  <c r="G15" i="34"/>
  <c r="F15" i="34"/>
  <c r="B24" i="34"/>
  <c r="B25" i="34" s="1"/>
  <c r="K10" i="34"/>
  <c r="F10" i="34"/>
  <c r="C15" i="34"/>
  <c r="C16" i="34" s="1"/>
  <c r="B15" i="34"/>
  <c r="B16" i="34" s="1"/>
  <c r="B15" i="33"/>
  <c r="B16" i="33" s="1"/>
  <c r="F28" i="32"/>
  <c r="F28" i="33"/>
  <c r="B42" i="33"/>
  <c r="F35" i="33"/>
  <c r="B33" i="33"/>
  <c r="F32" i="33"/>
  <c r="F31" i="33"/>
  <c r="F33" i="33" s="1"/>
  <c r="F24" i="33"/>
  <c r="C22" i="33"/>
  <c r="B22" i="33"/>
  <c r="F16" i="33" s="1"/>
  <c r="F19" i="33" s="1"/>
  <c r="F20" i="33" s="1"/>
  <c r="F21" i="33" s="1"/>
  <c r="F22" i="33" s="1"/>
  <c r="C17" i="33"/>
  <c r="B17" i="33"/>
  <c r="G15" i="33"/>
  <c r="F15" i="33"/>
  <c r="B24" i="33"/>
  <c r="B25" i="33" s="1"/>
  <c r="K10" i="33"/>
  <c r="B15" i="32"/>
  <c r="B16" i="32" s="1"/>
  <c r="C15" i="32"/>
  <c r="C16" i="32" s="1"/>
  <c r="B42" i="32"/>
  <c r="F35" i="32"/>
  <c r="B33" i="32"/>
  <c r="F32" i="32"/>
  <c r="F31" i="32"/>
  <c r="F33" i="32" s="1"/>
  <c r="C22" i="32"/>
  <c r="G16" i="32" s="1"/>
  <c r="B22" i="32"/>
  <c r="F16" i="32" s="1"/>
  <c r="F19" i="32" s="1"/>
  <c r="F20" i="32" s="1"/>
  <c r="C17" i="32"/>
  <c r="B17" i="32"/>
  <c r="G15" i="32"/>
  <c r="F15" i="32"/>
  <c r="B24" i="32"/>
  <c r="B25" i="32" s="1"/>
  <c r="K10" i="32"/>
  <c r="F24" i="32"/>
  <c r="B18" i="39" l="1"/>
  <c r="C18" i="39"/>
  <c r="G17" i="35"/>
  <c r="G18" i="35" s="1"/>
  <c r="F17" i="39"/>
  <c r="F18" i="39" s="1"/>
  <c r="B18" i="34"/>
  <c r="G17" i="36"/>
  <c r="C18" i="37"/>
  <c r="C19" i="37" s="1"/>
  <c r="F10" i="39"/>
  <c r="C18" i="34"/>
  <c r="C18" i="40"/>
  <c r="C19" i="40" s="1"/>
  <c r="B18" i="41"/>
  <c r="B19" i="41" s="1"/>
  <c r="B18" i="37"/>
  <c r="B19" i="37" s="1"/>
  <c r="D39" i="49"/>
  <c r="B19" i="45"/>
  <c r="F39" i="43"/>
  <c r="B35" i="34"/>
  <c r="B36" i="34" s="1"/>
  <c r="C18" i="32"/>
  <c r="F19" i="43"/>
  <c r="F20" i="43" s="1"/>
  <c r="F21" i="43" s="1"/>
  <c r="F22" i="43" s="1"/>
  <c r="B18" i="32"/>
  <c r="B19" i="32" s="1"/>
  <c r="C18" i="41"/>
  <c r="F17" i="42"/>
  <c r="G17" i="32"/>
  <c r="G18" i="32" s="1"/>
  <c r="B18" i="33"/>
  <c r="B19" i="33" s="1"/>
  <c r="C18" i="33"/>
  <c r="C19" i="33" s="1"/>
  <c r="F17" i="36"/>
  <c r="B18" i="40"/>
  <c r="B19" i="40" s="1"/>
  <c r="F19" i="49"/>
  <c r="F20" i="49" s="1"/>
  <c r="F21" i="49" s="1"/>
  <c r="F22" i="49" s="1"/>
  <c r="B41" i="74"/>
  <c r="D41" i="74" s="1"/>
  <c r="B26" i="48"/>
  <c r="B29" i="48" s="1"/>
  <c r="E38" i="43"/>
  <c r="E39" i="43" s="1"/>
  <c r="B26" i="46"/>
  <c r="B29" i="46" s="1"/>
  <c r="F29" i="46" s="1"/>
  <c r="E38" i="49"/>
  <c r="E39" i="49" s="1"/>
  <c r="G16" i="37"/>
  <c r="G17" i="37" s="1"/>
  <c r="G18" i="37" s="1"/>
  <c r="G38" i="43"/>
  <c r="G39" i="43" s="1"/>
  <c r="C38" i="43"/>
  <c r="C39" i="43" s="1"/>
  <c r="C40" i="43" s="1"/>
  <c r="C19" i="39"/>
  <c r="D38" i="43"/>
  <c r="D39" i="43" s="1"/>
  <c r="C40" i="54"/>
  <c r="G40" i="54" s="1"/>
  <c r="D40" i="54"/>
  <c r="C19" i="34"/>
  <c r="C19" i="45"/>
  <c r="E40" i="73"/>
  <c r="C19" i="41"/>
  <c r="F38" i="49"/>
  <c r="F39" i="49" s="1"/>
  <c r="C19" i="47"/>
  <c r="G38" i="49"/>
  <c r="G39" i="49" s="1"/>
  <c r="C38" i="49"/>
  <c r="C39" i="49" s="1"/>
  <c r="F40" i="49" s="1"/>
  <c r="D25" i="46"/>
  <c r="C19" i="48"/>
  <c r="B19" i="51"/>
  <c r="B19" i="34"/>
  <c r="B19" i="47"/>
  <c r="D25" i="48"/>
  <c r="B19" i="52"/>
  <c r="B19" i="49"/>
  <c r="B19" i="48"/>
  <c r="F29" i="52"/>
  <c r="G40" i="73"/>
  <c r="B41" i="70"/>
  <c r="D41" i="70" s="1"/>
  <c r="C40" i="72"/>
  <c r="F40" i="72"/>
  <c r="D40" i="72"/>
  <c r="C40" i="71"/>
  <c r="F40" i="71"/>
  <c r="D40" i="71"/>
  <c r="C40" i="69"/>
  <c r="F40" i="69"/>
  <c r="D40" i="69"/>
  <c r="C40" i="66"/>
  <c r="F40" i="66"/>
  <c r="D40" i="66"/>
  <c r="D38" i="65"/>
  <c r="D39" i="65" s="1"/>
  <c r="C38" i="65"/>
  <c r="C39" i="65" s="1"/>
  <c r="F38" i="65"/>
  <c r="F39" i="65" s="1"/>
  <c r="E38" i="65"/>
  <c r="E39" i="65" s="1"/>
  <c r="G38" i="65"/>
  <c r="G39" i="65" s="1"/>
  <c r="D38" i="64"/>
  <c r="D39" i="64" s="1"/>
  <c r="C38" i="64"/>
  <c r="C39" i="64" s="1"/>
  <c r="F38" i="64"/>
  <c r="F39" i="64" s="1"/>
  <c r="E38" i="64"/>
  <c r="E39" i="64" s="1"/>
  <c r="G38" i="64"/>
  <c r="G39" i="64" s="1"/>
  <c r="D38" i="63"/>
  <c r="D39" i="63" s="1"/>
  <c r="F38" i="63"/>
  <c r="F39" i="63" s="1"/>
  <c r="E38" i="63"/>
  <c r="E39" i="63" s="1"/>
  <c r="C38" i="63"/>
  <c r="C39" i="63" s="1"/>
  <c r="G38" i="63"/>
  <c r="G39" i="63" s="1"/>
  <c r="D38" i="62"/>
  <c r="D39" i="62" s="1"/>
  <c r="C38" i="62"/>
  <c r="C39" i="62" s="1"/>
  <c r="F38" i="62"/>
  <c r="F39" i="62" s="1"/>
  <c r="E38" i="62"/>
  <c r="E39" i="62" s="1"/>
  <c r="G38" i="62"/>
  <c r="G39" i="62" s="1"/>
  <c r="D38" i="61"/>
  <c r="D39" i="61" s="1"/>
  <c r="F38" i="61"/>
  <c r="F39" i="61" s="1"/>
  <c r="E38" i="61"/>
  <c r="E39" i="61" s="1"/>
  <c r="C38" i="61"/>
  <c r="C39" i="61" s="1"/>
  <c r="G38" i="61"/>
  <c r="G39" i="61" s="1"/>
  <c r="D38" i="59"/>
  <c r="D39" i="59" s="1"/>
  <c r="C38" i="59"/>
  <c r="C39" i="59" s="1"/>
  <c r="F38" i="59"/>
  <c r="F39" i="59" s="1"/>
  <c r="E38" i="59"/>
  <c r="E39" i="59" s="1"/>
  <c r="G38" i="59"/>
  <c r="G39" i="59" s="1"/>
  <c r="D38" i="58"/>
  <c r="D39" i="58" s="1"/>
  <c r="C38" i="58"/>
  <c r="C39" i="58" s="1"/>
  <c r="F38" i="58"/>
  <c r="F39" i="58" s="1"/>
  <c r="E38" i="58"/>
  <c r="E39" i="58" s="1"/>
  <c r="G38" i="58"/>
  <c r="G39" i="58" s="1"/>
  <c r="D38" i="57"/>
  <c r="D39" i="57" s="1"/>
  <c r="E38" i="57"/>
  <c r="E39" i="57" s="1"/>
  <c r="C38" i="57"/>
  <c r="C39" i="57" s="1"/>
  <c r="F38" i="57"/>
  <c r="F39" i="57" s="1"/>
  <c r="G38" i="57"/>
  <c r="G39" i="57" s="1"/>
  <c r="D38" i="55"/>
  <c r="D39" i="55" s="1"/>
  <c r="F38" i="55"/>
  <c r="E38" i="55"/>
  <c r="E39" i="55" s="1"/>
  <c r="C38" i="55"/>
  <c r="C39" i="55" s="1"/>
  <c r="G38" i="55"/>
  <c r="G39" i="55" s="1"/>
  <c r="F39" i="55"/>
  <c r="F29" i="53"/>
  <c r="C19" i="53"/>
  <c r="B19" i="53"/>
  <c r="G19" i="53"/>
  <c r="G20" i="53" s="1"/>
  <c r="G21" i="53" s="1"/>
  <c r="G22" i="53" s="1"/>
  <c r="B34" i="53"/>
  <c r="B26" i="49"/>
  <c r="B29" i="49" s="1"/>
  <c r="F29" i="49" s="1"/>
  <c r="F25" i="49"/>
  <c r="C19" i="52"/>
  <c r="D38" i="52"/>
  <c r="D39" i="52" s="1"/>
  <c r="E38" i="52"/>
  <c r="E39" i="52" s="1"/>
  <c r="C38" i="52"/>
  <c r="C39" i="52" s="1"/>
  <c r="F38" i="52"/>
  <c r="F39" i="52" s="1"/>
  <c r="G38" i="52"/>
  <c r="G39" i="52" s="1"/>
  <c r="G19" i="52"/>
  <c r="G20" i="52" s="1"/>
  <c r="G21" i="52" s="1"/>
  <c r="G22" i="52" s="1"/>
  <c r="C19" i="51"/>
  <c r="B34" i="51"/>
  <c r="G19" i="51"/>
  <c r="G20" i="51" s="1"/>
  <c r="G21" i="51" s="1"/>
  <c r="G22" i="51" s="1"/>
  <c r="G19" i="50"/>
  <c r="G20" i="50" s="1"/>
  <c r="G21" i="50" s="1"/>
  <c r="G22" i="50" s="1"/>
  <c r="B34" i="50"/>
  <c r="G19" i="49"/>
  <c r="G20" i="49" s="1"/>
  <c r="G21" i="49" s="1"/>
  <c r="G22" i="49" s="1"/>
  <c r="D39" i="48"/>
  <c r="F38" i="48"/>
  <c r="F39" i="48" s="1"/>
  <c r="G38" i="48"/>
  <c r="G39" i="48" s="1"/>
  <c r="E38" i="48"/>
  <c r="E39" i="48" s="1"/>
  <c r="F29" i="48"/>
  <c r="C38" i="48"/>
  <c r="C39" i="48" s="1"/>
  <c r="C40" i="48" s="1"/>
  <c r="G19" i="48"/>
  <c r="G20" i="48" s="1"/>
  <c r="G21" i="48" s="1"/>
  <c r="G22" i="48" s="1"/>
  <c r="D38" i="47"/>
  <c r="D39" i="47" s="1"/>
  <c r="F38" i="47"/>
  <c r="F39" i="47" s="1"/>
  <c r="E38" i="47"/>
  <c r="E39" i="47" s="1"/>
  <c r="C38" i="47"/>
  <c r="C39" i="47" s="1"/>
  <c r="G38" i="47"/>
  <c r="G39" i="47" s="1"/>
  <c r="G19" i="47"/>
  <c r="G20" i="47" s="1"/>
  <c r="G21" i="47" s="1"/>
  <c r="G22" i="47" s="1"/>
  <c r="G19" i="46"/>
  <c r="G20" i="46" s="1"/>
  <c r="G21" i="46" s="1"/>
  <c r="G22" i="46" s="1"/>
  <c r="B34" i="46"/>
  <c r="F29" i="45"/>
  <c r="G19" i="45"/>
  <c r="G20" i="45" s="1"/>
  <c r="G21" i="45" s="1"/>
  <c r="G22" i="45" s="1"/>
  <c r="B34" i="45"/>
  <c r="D38" i="44"/>
  <c r="D39" i="44" s="1"/>
  <c r="C38" i="44"/>
  <c r="C39" i="44" s="1"/>
  <c r="E38" i="44"/>
  <c r="E39" i="44" s="1"/>
  <c r="F38" i="44"/>
  <c r="F39" i="44" s="1"/>
  <c r="G38" i="44"/>
  <c r="G39" i="44" s="1"/>
  <c r="G19" i="44"/>
  <c r="G20" i="44" s="1"/>
  <c r="G21" i="44" s="1"/>
  <c r="G22" i="44" s="1"/>
  <c r="G19" i="43"/>
  <c r="G20" i="43" s="1"/>
  <c r="G21" i="43" s="1"/>
  <c r="G22" i="43" s="1"/>
  <c r="K10" i="42"/>
  <c r="C15" i="42"/>
  <c r="C16" i="42" s="1"/>
  <c r="C18" i="42" s="1"/>
  <c r="F28" i="42"/>
  <c r="B15" i="42"/>
  <c r="B16" i="42" s="1"/>
  <c r="B18" i="42" s="1"/>
  <c r="B35" i="42"/>
  <c r="B36" i="42" s="1"/>
  <c r="F25" i="42"/>
  <c r="D25" i="42"/>
  <c r="B26" i="42"/>
  <c r="B29" i="42" s="1"/>
  <c r="F10" i="42"/>
  <c r="F18" i="42"/>
  <c r="F19" i="42"/>
  <c r="F20" i="42" s="1"/>
  <c r="F21" i="42" s="1"/>
  <c r="F22" i="42" s="1"/>
  <c r="G16" i="42"/>
  <c r="G17" i="42" s="1"/>
  <c r="G18" i="42" s="1"/>
  <c r="B32" i="42"/>
  <c r="B34" i="42" s="1"/>
  <c r="B35" i="41"/>
  <c r="B36" i="41" s="1"/>
  <c r="F25" i="41"/>
  <c r="D25" i="41"/>
  <c r="B26" i="41"/>
  <c r="B29" i="41" s="1"/>
  <c r="F29" i="41" s="1"/>
  <c r="G16" i="41"/>
  <c r="G17" i="41" s="1"/>
  <c r="G18" i="41" s="1"/>
  <c r="B32" i="41"/>
  <c r="F17" i="41"/>
  <c r="F18" i="41" s="1"/>
  <c r="F21" i="40"/>
  <c r="F22" i="40" s="1"/>
  <c r="B35" i="40"/>
  <c r="B36" i="40" s="1"/>
  <c r="F25" i="40"/>
  <c r="D25" i="40"/>
  <c r="G16" i="40"/>
  <c r="G17" i="40" s="1"/>
  <c r="G18" i="40" s="1"/>
  <c r="B32" i="40"/>
  <c r="B34" i="40" s="1"/>
  <c r="G38" i="40" s="1"/>
  <c r="B26" i="40"/>
  <c r="B29" i="40" s="1"/>
  <c r="F29" i="40" s="1"/>
  <c r="F17" i="40"/>
  <c r="F18" i="40" s="1"/>
  <c r="B35" i="39"/>
  <c r="B36" i="39" s="1"/>
  <c r="B19" i="39"/>
  <c r="F25" i="39"/>
  <c r="D25" i="39"/>
  <c r="F19" i="39"/>
  <c r="F20" i="39" s="1"/>
  <c r="F21" i="39" s="1"/>
  <c r="F22" i="39" s="1"/>
  <c r="G16" i="39"/>
  <c r="G17" i="39" s="1"/>
  <c r="G18" i="39" s="1"/>
  <c r="B32" i="39"/>
  <c r="B26" i="39"/>
  <c r="B29" i="39" s="1"/>
  <c r="F29" i="39" s="1"/>
  <c r="C15" i="38"/>
  <c r="C16" i="38" s="1"/>
  <c r="C18" i="38" s="1"/>
  <c r="B15" i="38"/>
  <c r="B16" i="38" s="1"/>
  <c r="B18" i="38" s="1"/>
  <c r="F28" i="38"/>
  <c r="B35" i="38"/>
  <c r="B36" i="38" s="1"/>
  <c r="K10" i="38"/>
  <c r="B32" i="38"/>
  <c r="B34" i="38" s="1"/>
  <c r="F25" i="38"/>
  <c r="F21" i="38"/>
  <c r="F22" i="38" s="1"/>
  <c r="B26" i="38"/>
  <c r="B29" i="38" s="1"/>
  <c r="F17" i="38"/>
  <c r="F18" i="38" s="1"/>
  <c r="G16" i="38"/>
  <c r="G17" i="38" s="1"/>
  <c r="G18" i="38" s="1"/>
  <c r="D25" i="38"/>
  <c r="B35" i="37"/>
  <c r="B36" i="37" s="1"/>
  <c r="F21" i="37"/>
  <c r="F22" i="37" s="1"/>
  <c r="B24" i="37"/>
  <c r="B25" i="37" s="1"/>
  <c r="B32" i="37"/>
  <c r="B34" i="37" s="1"/>
  <c r="F17" i="37"/>
  <c r="F18" i="37" s="1"/>
  <c r="F10" i="37"/>
  <c r="C15" i="36"/>
  <c r="C16" i="36" s="1"/>
  <c r="C18" i="36" s="1"/>
  <c r="B35" i="36"/>
  <c r="B36" i="36" s="1"/>
  <c r="B15" i="36"/>
  <c r="B16" i="36" s="1"/>
  <c r="B18" i="36" s="1"/>
  <c r="B34" i="36"/>
  <c r="G38" i="36" s="1"/>
  <c r="K10" i="36"/>
  <c r="F18" i="36"/>
  <c r="F19" i="36"/>
  <c r="F20" i="36" s="1"/>
  <c r="F21" i="36" s="1"/>
  <c r="F22" i="36" s="1"/>
  <c r="G18" i="36"/>
  <c r="G19" i="36"/>
  <c r="G20" i="36" s="1"/>
  <c r="G21" i="36" s="1"/>
  <c r="G22" i="36" s="1"/>
  <c r="B24" i="36"/>
  <c r="B25" i="36" s="1"/>
  <c r="F10" i="36"/>
  <c r="F19" i="35"/>
  <c r="F20" i="35" s="1"/>
  <c r="F21" i="35" s="1"/>
  <c r="F22" i="35" s="1"/>
  <c r="C15" i="35"/>
  <c r="C16" i="35" s="1"/>
  <c r="C18" i="35" s="1"/>
  <c r="K10" i="35"/>
  <c r="B15" i="35"/>
  <c r="B16" i="35" s="1"/>
  <c r="B18" i="35" s="1"/>
  <c r="F28" i="35"/>
  <c r="B35" i="35"/>
  <c r="B36" i="35" s="1"/>
  <c r="B34" i="35"/>
  <c r="G38" i="35" s="1"/>
  <c r="F17" i="35"/>
  <c r="F18" i="35" s="1"/>
  <c r="G19" i="35"/>
  <c r="G20" i="35" s="1"/>
  <c r="G21" i="35" s="1"/>
  <c r="G22" i="35" s="1"/>
  <c r="B24" i="35"/>
  <c r="B25" i="35" s="1"/>
  <c r="F25" i="34"/>
  <c r="D25" i="34"/>
  <c r="G16" i="34"/>
  <c r="G17" i="34" s="1"/>
  <c r="G18" i="34" s="1"/>
  <c r="B32" i="34"/>
  <c r="B26" i="34"/>
  <c r="B29" i="34" s="1"/>
  <c r="F29" i="34" s="1"/>
  <c r="F17" i="34"/>
  <c r="F18" i="34" s="1"/>
  <c r="B35" i="33"/>
  <c r="B36" i="33" s="1"/>
  <c r="F10" i="33"/>
  <c r="F25" i="33"/>
  <c r="D25" i="33"/>
  <c r="B26" i="33"/>
  <c r="B29" i="33" s="1"/>
  <c r="F29" i="33" s="1"/>
  <c r="F17" i="33"/>
  <c r="F18" i="33" s="1"/>
  <c r="G16" i="33"/>
  <c r="G17" i="33" s="1"/>
  <c r="G18" i="33" s="1"/>
  <c r="B32" i="33"/>
  <c r="B34" i="33" s="1"/>
  <c r="G38" i="33" s="1"/>
  <c r="B35" i="32"/>
  <c r="B36" i="32" s="1"/>
  <c r="F21" i="32"/>
  <c r="F22" i="32" s="1"/>
  <c r="F25" i="32"/>
  <c r="D25" i="32"/>
  <c r="B26" i="32"/>
  <c r="B29" i="32" s="1"/>
  <c r="F29" i="32" s="1"/>
  <c r="G19" i="32"/>
  <c r="G20" i="32" s="1"/>
  <c r="G21" i="32" s="1"/>
  <c r="G22" i="32" s="1"/>
  <c r="B32" i="32"/>
  <c r="F10" i="32"/>
  <c r="C19" i="32"/>
  <c r="F17" i="32"/>
  <c r="F18" i="32" s="1"/>
  <c r="F35" i="31"/>
  <c r="B33" i="31"/>
  <c r="F32" i="31"/>
  <c r="F31" i="31"/>
  <c r="F33" i="31" s="1"/>
  <c r="C22" i="31"/>
  <c r="B22" i="31"/>
  <c r="C17" i="31"/>
  <c r="B17" i="31"/>
  <c r="G15" i="31"/>
  <c r="F15" i="31"/>
  <c r="B32" i="31"/>
  <c r="F24" i="31"/>
  <c r="F24" i="30"/>
  <c r="F10" i="30"/>
  <c r="B42" i="30"/>
  <c r="F35" i="30"/>
  <c r="B33" i="30"/>
  <c r="F32" i="30"/>
  <c r="F31" i="30"/>
  <c r="F33" i="30" s="1"/>
  <c r="C22" i="30"/>
  <c r="B22" i="30"/>
  <c r="F16" i="30" s="1"/>
  <c r="C17" i="30"/>
  <c r="B17" i="30"/>
  <c r="G15" i="30"/>
  <c r="F15" i="30"/>
  <c r="B24" i="30"/>
  <c r="B25" i="30" s="1"/>
  <c r="B28" i="29"/>
  <c r="F8" i="29"/>
  <c r="F7" i="29"/>
  <c r="F6" i="29"/>
  <c r="F5" i="29"/>
  <c r="B42" i="29"/>
  <c r="F35" i="29"/>
  <c r="B33" i="29"/>
  <c r="F32" i="29"/>
  <c r="F31" i="29"/>
  <c r="F33" i="29" s="1"/>
  <c r="F24" i="29"/>
  <c r="C22" i="29"/>
  <c r="B22" i="29"/>
  <c r="F16" i="29" s="1"/>
  <c r="C17" i="29"/>
  <c r="B17" i="29"/>
  <c r="G15" i="29"/>
  <c r="F15" i="29"/>
  <c r="B24" i="29"/>
  <c r="B25" i="29" s="1"/>
  <c r="C40" i="49" l="1"/>
  <c r="G40" i="49" s="1"/>
  <c r="D40" i="49"/>
  <c r="E40" i="54"/>
  <c r="B41" i="54" s="1"/>
  <c r="D41" i="54" s="1"/>
  <c r="B19" i="42"/>
  <c r="G19" i="34"/>
  <c r="G20" i="34" s="1"/>
  <c r="G21" i="34" s="1"/>
  <c r="G22" i="34" s="1"/>
  <c r="F40" i="43"/>
  <c r="G40" i="43" s="1"/>
  <c r="D40" i="43"/>
  <c r="E40" i="43" s="1"/>
  <c r="G19" i="37"/>
  <c r="G20" i="37" s="1"/>
  <c r="G21" i="37" s="1"/>
  <c r="G22" i="37" s="1"/>
  <c r="F29" i="42"/>
  <c r="B41" i="73"/>
  <c r="D41" i="73" s="1"/>
  <c r="C19" i="35"/>
  <c r="C19" i="42"/>
  <c r="E40" i="72"/>
  <c r="E40" i="71"/>
  <c r="C19" i="38"/>
  <c r="E40" i="69"/>
  <c r="B19" i="35"/>
  <c r="B19" i="38"/>
  <c r="G40" i="71"/>
  <c r="G40" i="72"/>
  <c r="G40" i="69"/>
  <c r="G40" i="66"/>
  <c r="E40" i="66"/>
  <c r="C40" i="65"/>
  <c r="F40" i="65"/>
  <c r="D40" i="65"/>
  <c r="C40" i="64"/>
  <c r="F40" i="64"/>
  <c r="D40" i="64"/>
  <c r="F40" i="63"/>
  <c r="C40" i="63"/>
  <c r="D40" i="63"/>
  <c r="C40" i="62"/>
  <c r="D40" i="62"/>
  <c r="F40" i="62"/>
  <c r="C40" i="61"/>
  <c r="F40" i="61"/>
  <c r="D40" i="61"/>
  <c r="C40" i="59"/>
  <c r="F40" i="59"/>
  <c r="D40" i="59"/>
  <c r="C40" i="58"/>
  <c r="F40" i="58"/>
  <c r="D40" i="58"/>
  <c r="C40" i="57"/>
  <c r="F40" i="57"/>
  <c r="D40" i="57"/>
  <c r="C40" i="55"/>
  <c r="F40" i="55"/>
  <c r="D40" i="55"/>
  <c r="D38" i="53"/>
  <c r="D39" i="53" s="1"/>
  <c r="C38" i="53"/>
  <c r="C39" i="53" s="1"/>
  <c r="F38" i="53"/>
  <c r="F39" i="53" s="1"/>
  <c r="E38" i="53"/>
  <c r="E39" i="53" s="1"/>
  <c r="G38" i="53"/>
  <c r="G39" i="53" s="1"/>
  <c r="C40" i="52"/>
  <c r="F40" i="52"/>
  <c r="D40" i="52"/>
  <c r="D38" i="51"/>
  <c r="D39" i="51" s="1"/>
  <c r="F38" i="51"/>
  <c r="E38" i="51"/>
  <c r="E39" i="51" s="1"/>
  <c r="C38" i="51"/>
  <c r="C39" i="51" s="1"/>
  <c r="G38" i="51"/>
  <c r="G39" i="51" s="1"/>
  <c r="F39" i="51"/>
  <c r="D38" i="50"/>
  <c r="D39" i="50" s="1"/>
  <c r="C38" i="50"/>
  <c r="C39" i="50" s="1"/>
  <c r="F38" i="50"/>
  <c r="F39" i="50" s="1"/>
  <c r="E38" i="50"/>
  <c r="E39" i="50" s="1"/>
  <c r="G38" i="50"/>
  <c r="G39" i="50" s="1"/>
  <c r="F40" i="48"/>
  <c r="G40" i="48" s="1"/>
  <c r="D40" i="48"/>
  <c r="E40" i="48" s="1"/>
  <c r="C40" i="47"/>
  <c r="F40" i="47"/>
  <c r="D40" i="47"/>
  <c r="D38" i="46"/>
  <c r="D39" i="46" s="1"/>
  <c r="C38" i="46"/>
  <c r="C39" i="46" s="1"/>
  <c r="F38" i="46"/>
  <c r="F39" i="46" s="1"/>
  <c r="E38" i="46"/>
  <c r="E39" i="46" s="1"/>
  <c r="G38" i="46"/>
  <c r="G39" i="46" s="1"/>
  <c r="D38" i="45"/>
  <c r="D39" i="45" s="1"/>
  <c r="C38" i="45"/>
  <c r="C39" i="45" s="1"/>
  <c r="F38" i="45"/>
  <c r="F39" i="45" s="1"/>
  <c r="E38" i="45"/>
  <c r="E39" i="45" s="1"/>
  <c r="G38" i="45"/>
  <c r="G39" i="45" s="1"/>
  <c r="C40" i="44"/>
  <c r="F40" i="44"/>
  <c r="D40" i="44"/>
  <c r="D38" i="42"/>
  <c r="D39" i="42" s="1"/>
  <c r="C38" i="42"/>
  <c r="C39" i="42" s="1"/>
  <c r="F38" i="42"/>
  <c r="F39" i="42" s="1"/>
  <c r="E38" i="42"/>
  <c r="E39" i="42" s="1"/>
  <c r="G38" i="42"/>
  <c r="G39" i="42" s="1"/>
  <c r="G19" i="42"/>
  <c r="G20" i="42" s="1"/>
  <c r="G21" i="42" s="1"/>
  <c r="G22" i="42" s="1"/>
  <c r="B34" i="41"/>
  <c r="G19" i="41"/>
  <c r="G20" i="41" s="1"/>
  <c r="G21" i="41" s="1"/>
  <c r="G22" i="41" s="1"/>
  <c r="D38" i="40"/>
  <c r="D39" i="40" s="1"/>
  <c r="E38" i="40"/>
  <c r="C38" i="40"/>
  <c r="C39" i="40" s="1"/>
  <c r="F38" i="40"/>
  <c r="F39" i="40" s="1"/>
  <c r="G39" i="40"/>
  <c r="E39" i="40"/>
  <c r="G19" i="40"/>
  <c r="G20" i="40" s="1"/>
  <c r="G21" i="40" s="1"/>
  <c r="G22" i="40" s="1"/>
  <c r="B34" i="39"/>
  <c r="G19" i="39"/>
  <c r="G20" i="39" s="1"/>
  <c r="G21" i="39" s="1"/>
  <c r="G22" i="39" s="1"/>
  <c r="F29" i="38"/>
  <c r="G19" i="38"/>
  <c r="G20" i="38" s="1"/>
  <c r="G21" i="38" s="1"/>
  <c r="G22" i="38" s="1"/>
  <c r="D38" i="38"/>
  <c r="D39" i="38" s="1"/>
  <c r="C38" i="38"/>
  <c r="C39" i="38" s="1"/>
  <c r="D40" i="38" s="1"/>
  <c r="G38" i="38"/>
  <c r="G39" i="38" s="1"/>
  <c r="F38" i="38"/>
  <c r="F39" i="38" s="1"/>
  <c r="E38" i="38"/>
  <c r="E39" i="38" s="1"/>
  <c r="D25" i="37"/>
  <c r="F25" i="37"/>
  <c r="D38" i="37"/>
  <c r="D39" i="37" s="1"/>
  <c r="F38" i="37"/>
  <c r="F39" i="37" s="1"/>
  <c r="E38" i="37"/>
  <c r="E39" i="37" s="1"/>
  <c r="C38" i="37"/>
  <c r="C39" i="37" s="1"/>
  <c r="D40" i="37" s="1"/>
  <c r="G38" i="37"/>
  <c r="G39" i="37" s="1"/>
  <c r="B26" i="37"/>
  <c r="B29" i="37" s="1"/>
  <c r="F29" i="37" s="1"/>
  <c r="B26" i="36"/>
  <c r="B29" i="36" s="1"/>
  <c r="F29" i="36" s="1"/>
  <c r="D38" i="36"/>
  <c r="D39" i="36" s="1"/>
  <c r="C38" i="36"/>
  <c r="C39" i="36" s="1"/>
  <c r="D40" i="36" s="1"/>
  <c r="F38" i="36"/>
  <c r="F39" i="36" s="1"/>
  <c r="E38" i="36"/>
  <c r="E39" i="36" s="1"/>
  <c r="F25" i="36"/>
  <c r="D25" i="36"/>
  <c r="C19" i="36"/>
  <c r="B19" i="36"/>
  <c r="G39" i="36"/>
  <c r="G39" i="35"/>
  <c r="F25" i="35"/>
  <c r="D25" i="35"/>
  <c r="D38" i="35"/>
  <c r="D39" i="35" s="1"/>
  <c r="C38" i="35"/>
  <c r="C39" i="35" s="1"/>
  <c r="F38" i="35"/>
  <c r="F39" i="35" s="1"/>
  <c r="E38" i="35"/>
  <c r="E39" i="35" s="1"/>
  <c r="B26" i="35"/>
  <c r="B29" i="35" s="1"/>
  <c r="F29" i="35" s="1"/>
  <c r="B34" i="34"/>
  <c r="D38" i="33"/>
  <c r="D39" i="33" s="1"/>
  <c r="E38" i="33"/>
  <c r="E39" i="33" s="1"/>
  <c r="C38" i="33"/>
  <c r="C39" i="33" s="1"/>
  <c r="F38" i="33"/>
  <c r="F39" i="33" s="1"/>
  <c r="G19" i="33"/>
  <c r="G20" i="33" s="1"/>
  <c r="G21" i="33" s="1"/>
  <c r="G22" i="33" s="1"/>
  <c r="G39" i="33"/>
  <c r="B34" i="32"/>
  <c r="C15" i="31"/>
  <c r="C16" i="31" s="1"/>
  <c r="C18" i="31" s="1"/>
  <c r="B35" i="31"/>
  <c r="B36" i="31" s="1"/>
  <c r="B24" i="31"/>
  <c r="B25" i="31" s="1"/>
  <c r="F25" i="31" s="1"/>
  <c r="B15" i="31"/>
  <c r="B16" i="31" s="1"/>
  <c r="B18" i="31" s="1"/>
  <c r="F28" i="31"/>
  <c r="B34" i="31"/>
  <c r="B42" i="31"/>
  <c r="F10" i="31"/>
  <c r="K10" i="31"/>
  <c r="F16" i="31"/>
  <c r="F17" i="31" s="1"/>
  <c r="F18" i="31" s="1"/>
  <c r="G16" i="31"/>
  <c r="G17" i="31" s="1"/>
  <c r="G18" i="31" s="1"/>
  <c r="F19" i="30"/>
  <c r="F20" i="30" s="1"/>
  <c r="F21" i="30" s="1"/>
  <c r="F22" i="30" s="1"/>
  <c r="C15" i="30"/>
  <c r="C16" i="30" s="1"/>
  <c r="C18" i="30" s="1"/>
  <c r="B15" i="30"/>
  <c r="B16" i="30" s="1"/>
  <c r="B18" i="30" s="1"/>
  <c r="F28" i="30"/>
  <c r="K10" i="30"/>
  <c r="B35" i="30"/>
  <c r="B36" i="30" s="1"/>
  <c r="F25" i="30"/>
  <c r="D25" i="30"/>
  <c r="F17" i="30"/>
  <c r="F18" i="30" s="1"/>
  <c r="G16" i="30"/>
  <c r="G17" i="30" s="1"/>
  <c r="G18" i="30" s="1"/>
  <c r="B32" i="30"/>
  <c r="B34" i="30" s="1"/>
  <c r="B26" i="30"/>
  <c r="B29" i="30" s="1"/>
  <c r="F10" i="29"/>
  <c r="K10" i="29"/>
  <c r="F19" i="29"/>
  <c r="F20" i="29" s="1"/>
  <c r="F21" i="29" s="1"/>
  <c r="F22" i="29" s="1"/>
  <c r="B15" i="29"/>
  <c r="B16" i="29" s="1"/>
  <c r="B18" i="29" s="1"/>
  <c r="F28" i="29"/>
  <c r="C15" i="29"/>
  <c r="C16" i="29" s="1"/>
  <c r="C18" i="29" s="1"/>
  <c r="C19" i="29" s="1"/>
  <c r="B35" i="29"/>
  <c r="B36" i="29" s="1"/>
  <c r="F25" i="29"/>
  <c r="D25" i="29"/>
  <c r="G16" i="29"/>
  <c r="G17" i="29" s="1"/>
  <c r="G18" i="29" s="1"/>
  <c r="B32" i="29"/>
  <c r="B26" i="29"/>
  <c r="B29" i="29" s="1"/>
  <c r="F17" i="29"/>
  <c r="F18" i="29" s="1"/>
  <c r="F63" i="28"/>
  <c r="F62" i="28"/>
  <c r="F61" i="28"/>
  <c r="F60" i="28"/>
  <c r="E60" i="28"/>
  <c r="E61" i="28" s="1"/>
  <c r="E62" i="28" s="1"/>
  <c r="E63" i="28" s="1"/>
  <c r="F56" i="28"/>
  <c r="B47" i="28"/>
  <c r="B46" i="28"/>
  <c r="B45" i="28"/>
  <c r="B44" i="28"/>
  <c r="G39" i="28"/>
  <c r="F39" i="28"/>
  <c r="E39" i="28"/>
  <c r="D39" i="28"/>
  <c r="I37" i="28"/>
  <c r="G37" i="28"/>
  <c r="F37" i="28"/>
  <c r="E37" i="28"/>
  <c r="D37" i="28"/>
  <c r="I36" i="28"/>
  <c r="J35" i="28"/>
  <c r="J36" i="28" s="1"/>
  <c r="I33" i="28"/>
  <c r="G33" i="28"/>
  <c r="F33" i="28"/>
  <c r="E33" i="28"/>
  <c r="D33" i="28"/>
  <c r="I32" i="28"/>
  <c r="J31" i="28"/>
  <c r="J33" i="28" s="1"/>
  <c r="G31" i="28"/>
  <c r="F31" i="28"/>
  <c r="E31" i="28"/>
  <c r="D31" i="28"/>
  <c r="I29" i="28"/>
  <c r="I28" i="28"/>
  <c r="N27" i="28"/>
  <c r="J27" i="28"/>
  <c r="J28" i="28" s="1"/>
  <c r="G27" i="28"/>
  <c r="G28" i="28" s="1"/>
  <c r="F27" i="28"/>
  <c r="F28" i="28" s="1"/>
  <c r="E27" i="28"/>
  <c r="E28" i="28" s="1"/>
  <c r="D27" i="28"/>
  <c r="D28" i="28" s="1"/>
  <c r="K22" i="28"/>
  <c r="K24" i="28" s="1"/>
  <c r="K18" i="28"/>
  <c r="K17" i="28"/>
  <c r="K14" i="28"/>
  <c r="F6" i="28" s="1"/>
  <c r="K12" i="28"/>
  <c r="F26" i="28" s="1"/>
  <c r="K11" i="28"/>
  <c r="D11" i="28"/>
  <c r="K19" i="28" s="1"/>
  <c r="K10" i="28"/>
  <c r="K9" i="28"/>
  <c r="K15" i="28" s="1"/>
  <c r="K3" i="28"/>
  <c r="J2" i="28" s="1"/>
  <c r="F63" i="27"/>
  <c r="F62" i="27"/>
  <c r="F61" i="27"/>
  <c r="F60" i="27"/>
  <c r="E60" i="27"/>
  <c r="E61" i="27" s="1"/>
  <c r="E62" i="27" s="1"/>
  <c r="E63" i="27" s="1"/>
  <c r="F56" i="27"/>
  <c r="B47" i="27"/>
  <c r="B46" i="27"/>
  <c r="B45" i="27"/>
  <c r="B44" i="27"/>
  <c r="G39" i="27"/>
  <c r="F39" i="27"/>
  <c r="E39" i="27"/>
  <c r="D39" i="27"/>
  <c r="I37" i="27"/>
  <c r="G37" i="27"/>
  <c r="F37" i="27"/>
  <c r="E37" i="27"/>
  <c r="D37" i="27"/>
  <c r="I36" i="27"/>
  <c r="J35" i="27"/>
  <c r="J37" i="27" s="1"/>
  <c r="I33" i="27"/>
  <c r="G33" i="27"/>
  <c r="F33" i="27"/>
  <c r="E33" i="27"/>
  <c r="D33" i="27"/>
  <c r="I32" i="27"/>
  <c r="J31" i="27"/>
  <c r="J33" i="27" s="1"/>
  <c r="G31" i="27"/>
  <c r="F31" i="27"/>
  <c r="E31" i="27"/>
  <c r="D31" i="27"/>
  <c r="I29" i="27"/>
  <c r="I28" i="27"/>
  <c r="G28" i="27"/>
  <c r="N27" i="27"/>
  <c r="J27" i="27"/>
  <c r="J28" i="27" s="1"/>
  <c r="G27" i="27"/>
  <c r="F27" i="27"/>
  <c r="F28" i="27" s="1"/>
  <c r="E27" i="27"/>
  <c r="E28" i="27" s="1"/>
  <c r="D27" i="27"/>
  <c r="D28" i="27" s="1"/>
  <c r="K22" i="27"/>
  <c r="K24" i="27" s="1"/>
  <c r="K18" i="27"/>
  <c r="K17" i="27"/>
  <c r="K14" i="27"/>
  <c r="F6" i="27" s="1"/>
  <c r="K12" i="27"/>
  <c r="D26" i="27" s="1"/>
  <c r="K11" i="27"/>
  <c r="D11" i="27"/>
  <c r="K19" i="27" s="1"/>
  <c r="K10" i="27"/>
  <c r="K9" i="27"/>
  <c r="K16" i="27" s="1"/>
  <c r="K3" i="27"/>
  <c r="J2" i="27" s="1"/>
  <c r="F10" i="26"/>
  <c r="C15" i="26"/>
  <c r="C16" i="26" s="1"/>
  <c r="B42" i="26"/>
  <c r="F35" i="26"/>
  <c r="B33" i="26"/>
  <c r="F32" i="26"/>
  <c r="F31" i="26"/>
  <c r="F33" i="26" s="1"/>
  <c r="B28" i="26"/>
  <c r="F28" i="26" s="1"/>
  <c r="F24" i="26"/>
  <c r="C22" i="26"/>
  <c r="B22" i="26"/>
  <c r="F16" i="26" s="1"/>
  <c r="C17" i="26"/>
  <c r="B17" i="26"/>
  <c r="G15" i="26"/>
  <c r="F15" i="26"/>
  <c r="B24" i="26"/>
  <c r="B25" i="26" s="1"/>
  <c r="F24" i="25"/>
  <c r="B42" i="25"/>
  <c r="F35" i="25"/>
  <c r="B33" i="25"/>
  <c r="F32" i="25"/>
  <c r="F31" i="25"/>
  <c r="F33" i="25" s="1"/>
  <c r="C22" i="25"/>
  <c r="G16" i="25" s="1"/>
  <c r="B22" i="25"/>
  <c r="C17" i="25"/>
  <c r="B17" i="25"/>
  <c r="G15" i="25"/>
  <c r="F15" i="25"/>
  <c r="B15" i="25"/>
  <c r="B16" i="25" s="1"/>
  <c r="F24" i="24"/>
  <c r="B42" i="24"/>
  <c r="F35" i="24"/>
  <c r="B33" i="24"/>
  <c r="F32" i="24"/>
  <c r="F31" i="24"/>
  <c r="F33" i="24" s="1"/>
  <c r="C22" i="24"/>
  <c r="B22" i="24"/>
  <c r="F16" i="24" s="1"/>
  <c r="F17" i="24" s="1"/>
  <c r="C17" i="24"/>
  <c r="B17" i="24"/>
  <c r="G15" i="24"/>
  <c r="F15" i="24"/>
  <c r="B24" i="24"/>
  <c r="B25" i="24" s="1"/>
  <c r="F24" i="23"/>
  <c r="B42" i="23"/>
  <c r="F35" i="23"/>
  <c r="B33" i="23"/>
  <c r="F32" i="23"/>
  <c r="F31" i="23"/>
  <c r="F33" i="23" s="1"/>
  <c r="C22" i="23"/>
  <c r="B22" i="23"/>
  <c r="F16" i="23" s="1"/>
  <c r="C17" i="23"/>
  <c r="B17" i="23"/>
  <c r="G15" i="23"/>
  <c r="F15" i="23"/>
  <c r="B24" i="23"/>
  <c r="B25" i="23" s="1"/>
  <c r="F8" i="22"/>
  <c r="F7" i="22"/>
  <c r="F6" i="22"/>
  <c r="F5" i="22"/>
  <c r="B42" i="22"/>
  <c r="F35" i="22"/>
  <c r="B33" i="22"/>
  <c r="F32" i="22"/>
  <c r="F31" i="22"/>
  <c r="F33" i="22" s="1"/>
  <c r="B28" i="22"/>
  <c r="C22" i="22"/>
  <c r="B22" i="22"/>
  <c r="F16" i="22" s="1"/>
  <c r="C17" i="22"/>
  <c r="B17" i="22"/>
  <c r="G15" i="22"/>
  <c r="F15" i="22"/>
  <c r="B24" i="22"/>
  <c r="B25" i="22" s="1"/>
  <c r="F24" i="22"/>
  <c r="E26" i="28" l="1"/>
  <c r="C18" i="26"/>
  <c r="J29" i="27"/>
  <c r="J29" i="28"/>
  <c r="G17" i="25"/>
  <c r="E40" i="49"/>
  <c r="B41" i="49" s="1"/>
  <c r="D41" i="49" s="1"/>
  <c r="G26" i="27"/>
  <c r="G29" i="27" s="1"/>
  <c r="G30" i="27" s="1"/>
  <c r="G32" i="27" s="1"/>
  <c r="G34" i="27" s="1"/>
  <c r="G26" i="28"/>
  <c r="G29" i="28" s="1"/>
  <c r="G30" i="28" s="1"/>
  <c r="G32" i="28" s="1"/>
  <c r="G34" i="28" s="1"/>
  <c r="G36" i="28" s="1"/>
  <c r="B18" i="25"/>
  <c r="K15" i="27"/>
  <c r="J36" i="27"/>
  <c r="B48" i="27"/>
  <c r="K20" i="28"/>
  <c r="F26" i="27"/>
  <c r="E26" i="27"/>
  <c r="E29" i="27" s="1"/>
  <c r="E30" i="27" s="1"/>
  <c r="E32" i="27" s="1"/>
  <c r="E34" i="27" s="1"/>
  <c r="E36" i="27" s="1"/>
  <c r="K16" i="28"/>
  <c r="B41" i="72"/>
  <c r="D41" i="72" s="1"/>
  <c r="B41" i="43"/>
  <c r="D41" i="43" s="1"/>
  <c r="G40" i="44"/>
  <c r="E40" i="47"/>
  <c r="E40" i="52"/>
  <c r="B41" i="69"/>
  <c r="D41" i="69" s="1"/>
  <c r="E40" i="57"/>
  <c r="G40" i="62"/>
  <c r="B41" i="71"/>
  <c r="D41" i="71" s="1"/>
  <c r="G40" i="57"/>
  <c r="E40" i="62"/>
  <c r="G40" i="52"/>
  <c r="B41" i="66"/>
  <c r="D41" i="66" s="1"/>
  <c r="E40" i="55"/>
  <c r="E40" i="61"/>
  <c r="E40" i="65"/>
  <c r="D25" i="31"/>
  <c r="B26" i="31"/>
  <c r="B29" i="31" s="1"/>
  <c r="F29" i="31" s="1"/>
  <c r="E40" i="44"/>
  <c r="B41" i="44" s="1"/>
  <c r="D41" i="44" s="1"/>
  <c r="G40" i="55"/>
  <c r="E40" i="59"/>
  <c r="G40" i="61"/>
  <c r="E40" i="64"/>
  <c r="G40" i="65"/>
  <c r="G40" i="64"/>
  <c r="G40" i="63"/>
  <c r="E40" i="63"/>
  <c r="C15" i="25"/>
  <c r="C16" i="25" s="1"/>
  <c r="C18" i="25" s="1"/>
  <c r="E40" i="58"/>
  <c r="G40" i="58"/>
  <c r="G40" i="59"/>
  <c r="C40" i="53"/>
  <c r="F40" i="53"/>
  <c r="D40" i="53"/>
  <c r="C40" i="51"/>
  <c r="F40" i="51"/>
  <c r="D40" i="51"/>
  <c r="C40" i="50"/>
  <c r="F40" i="50"/>
  <c r="D40" i="50"/>
  <c r="B41" i="48"/>
  <c r="D41" i="48" s="1"/>
  <c r="G40" i="47"/>
  <c r="C40" i="46"/>
  <c r="F40" i="46"/>
  <c r="D40" i="46"/>
  <c r="C40" i="45"/>
  <c r="F40" i="45"/>
  <c r="D40" i="45"/>
  <c r="C40" i="42"/>
  <c r="F40" i="42"/>
  <c r="D40" i="42"/>
  <c r="D38" i="41"/>
  <c r="D39" i="41" s="1"/>
  <c r="F38" i="41"/>
  <c r="F39" i="41" s="1"/>
  <c r="E38" i="41"/>
  <c r="E39" i="41" s="1"/>
  <c r="C38" i="41"/>
  <c r="C39" i="41" s="1"/>
  <c r="G38" i="41"/>
  <c r="G39" i="41" s="1"/>
  <c r="C40" i="40"/>
  <c r="F40" i="40"/>
  <c r="D40" i="40"/>
  <c r="D38" i="39"/>
  <c r="D39" i="39" s="1"/>
  <c r="C38" i="39"/>
  <c r="C39" i="39" s="1"/>
  <c r="F38" i="39"/>
  <c r="F39" i="39" s="1"/>
  <c r="E38" i="39"/>
  <c r="E39" i="39" s="1"/>
  <c r="G38" i="39"/>
  <c r="G39" i="39" s="1"/>
  <c r="F40" i="38"/>
  <c r="C40" i="38"/>
  <c r="E40" i="38" s="1"/>
  <c r="F40" i="37"/>
  <c r="C40" i="37"/>
  <c r="E40" i="37" s="1"/>
  <c r="F40" i="36"/>
  <c r="C40" i="36"/>
  <c r="E40" i="36" s="1"/>
  <c r="C40" i="35"/>
  <c r="D40" i="35"/>
  <c r="F40" i="35"/>
  <c r="D38" i="34"/>
  <c r="D39" i="34" s="1"/>
  <c r="E38" i="34"/>
  <c r="C38" i="34"/>
  <c r="C39" i="34" s="1"/>
  <c r="F38" i="34"/>
  <c r="F39" i="34" s="1"/>
  <c r="G38" i="34"/>
  <c r="G39" i="34" s="1"/>
  <c r="E39" i="34"/>
  <c r="C40" i="33"/>
  <c r="F40" i="33"/>
  <c r="D40" i="33"/>
  <c r="D38" i="32"/>
  <c r="D39" i="32" s="1"/>
  <c r="C38" i="32"/>
  <c r="C39" i="32" s="1"/>
  <c r="E38" i="32"/>
  <c r="E39" i="32" s="1"/>
  <c r="F38" i="32"/>
  <c r="F39" i="32" s="1"/>
  <c r="G38" i="32"/>
  <c r="G39" i="32" s="1"/>
  <c r="C38" i="31"/>
  <c r="C39" i="31" s="1"/>
  <c r="D40" i="31" s="1"/>
  <c r="F38" i="31"/>
  <c r="F39" i="31" s="1"/>
  <c r="E38" i="31"/>
  <c r="E39" i="31" s="1"/>
  <c r="D38" i="31"/>
  <c r="D39" i="31" s="1"/>
  <c r="G19" i="31"/>
  <c r="G20" i="31" s="1"/>
  <c r="G21" i="31" s="1"/>
  <c r="G22" i="31" s="1"/>
  <c r="B19" i="31"/>
  <c r="C19" i="31"/>
  <c r="G38" i="31"/>
  <c r="G39" i="31" s="1"/>
  <c r="F19" i="31"/>
  <c r="F20" i="31" s="1"/>
  <c r="F21" i="31" s="1"/>
  <c r="F22" i="31" s="1"/>
  <c r="B19" i="30"/>
  <c r="F29" i="30"/>
  <c r="C19" i="30"/>
  <c r="D38" i="30"/>
  <c r="D39" i="30" s="1"/>
  <c r="E38" i="30"/>
  <c r="E39" i="30" s="1"/>
  <c r="C38" i="30"/>
  <c r="C39" i="30" s="1"/>
  <c r="F38" i="30"/>
  <c r="F39" i="30" s="1"/>
  <c r="G38" i="30"/>
  <c r="G39" i="30" s="1"/>
  <c r="G19" i="30"/>
  <c r="G20" i="30" s="1"/>
  <c r="G21" i="30" s="1"/>
  <c r="G22" i="30" s="1"/>
  <c r="F29" i="29"/>
  <c r="B19" i="29"/>
  <c r="G19" i="29"/>
  <c r="G20" i="29" s="1"/>
  <c r="G21" i="29" s="1"/>
  <c r="G22" i="29" s="1"/>
  <c r="B34" i="29"/>
  <c r="B48" i="28"/>
  <c r="E29" i="28"/>
  <c r="E30" i="28" s="1"/>
  <c r="E32" i="28" s="1"/>
  <c r="E34" i="28" s="1"/>
  <c r="E36" i="28" s="1"/>
  <c r="K23" i="28"/>
  <c r="F29" i="28"/>
  <c r="F30" i="28" s="1"/>
  <c r="F32" i="28" s="1"/>
  <c r="F34" i="28" s="1"/>
  <c r="F36" i="28" s="1"/>
  <c r="J37" i="28"/>
  <c r="D26" i="28"/>
  <c r="D29" i="28" s="1"/>
  <c r="D30" i="28" s="1"/>
  <c r="D32" i="28" s="1"/>
  <c r="D34" i="28" s="1"/>
  <c r="J32" i="28"/>
  <c r="B49" i="28"/>
  <c r="K25" i="28" s="1"/>
  <c r="B50" i="28" s="1"/>
  <c r="B51" i="28" s="1"/>
  <c r="F46" i="28" s="1"/>
  <c r="F29" i="27"/>
  <c r="F30" i="27" s="1"/>
  <c r="F32" i="27" s="1"/>
  <c r="F34" i="27" s="1"/>
  <c r="F36" i="27" s="1"/>
  <c r="D29" i="27"/>
  <c r="D30" i="27" s="1"/>
  <c r="D32" i="27" s="1"/>
  <c r="D34" i="27" s="1"/>
  <c r="D36" i="27" s="1"/>
  <c r="K23" i="27"/>
  <c r="K20" i="27"/>
  <c r="J32" i="27"/>
  <c r="B49" i="27"/>
  <c r="K25" i="27" s="1"/>
  <c r="B15" i="26"/>
  <c r="B16" i="26" s="1"/>
  <c r="B18" i="26" s="1"/>
  <c r="K10" i="26"/>
  <c r="C19" i="26" s="1"/>
  <c r="F19" i="26"/>
  <c r="F20" i="26" s="1"/>
  <c r="F21" i="26" s="1"/>
  <c r="F22" i="26" s="1"/>
  <c r="B35" i="26"/>
  <c r="B36" i="26" s="1"/>
  <c r="F25" i="26"/>
  <c r="D25" i="26"/>
  <c r="B26" i="26"/>
  <c r="B29" i="26" s="1"/>
  <c r="F29" i="26" s="1"/>
  <c r="F17" i="26"/>
  <c r="F18" i="26" s="1"/>
  <c r="G16" i="26"/>
  <c r="G17" i="26" s="1"/>
  <c r="G18" i="26" s="1"/>
  <c r="B32" i="26"/>
  <c r="B34" i="26" s="1"/>
  <c r="G38" i="26" s="1"/>
  <c r="B35" i="25"/>
  <c r="B36" i="25" s="1"/>
  <c r="G19" i="25"/>
  <c r="G20" i="25" s="1"/>
  <c r="G21" i="25" s="1"/>
  <c r="G22" i="25" s="1"/>
  <c r="F28" i="25"/>
  <c r="B24" i="25"/>
  <c r="B25" i="25" s="1"/>
  <c r="F10" i="25"/>
  <c r="G18" i="25"/>
  <c r="B32" i="25"/>
  <c r="K10" i="25"/>
  <c r="F16" i="25"/>
  <c r="F17" i="25" s="1"/>
  <c r="F18" i="25" s="1"/>
  <c r="F10" i="24"/>
  <c r="C15" i="24"/>
  <c r="C16" i="24" s="1"/>
  <c r="C18" i="24" s="1"/>
  <c r="F28" i="24"/>
  <c r="B15" i="24"/>
  <c r="B16" i="24" s="1"/>
  <c r="B18" i="24" s="1"/>
  <c r="B35" i="24"/>
  <c r="B36" i="24" s="1"/>
  <c r="F25" i="24"/>
  <c r="D25" i="24"/>
  <c r="K10" i="24"/>
  <c r="F18" i="24"/>
  <c r="F19" i="24"/>
  <c r="F20" i="24" s="1"/>
  <c r="F21" i="24" s="1"/>
  <c r="F22" i="24" s="1"/>
  <c r="B26" i="24"/>
  <c r="B29" i="24" s="1"/>
  <c r="F29" i="24" s="1"/>
  <c r="G16" i="24"/>
  <c r="G17" i="24" s="1"/>
  <c r="G18" i="24" s="1"/>
  <c r="B32" i="24"/>
  <c r="F10" i="23"/>
  <c r="F19" i="23"/>
  <c r="F20" i="23" s="1"/>
  <c r="F21" i="23" s="1"/>
  <c r="F22" i="23" s="1"/>
  <c r="C15" i="23"/>
  <c r="C16" i="23" s="1"/>
  <c r="C18" i="23" s="1"/>
  <c r="B15" i="23"/>
  <c r="B16" i="23" s="1"/>
  <c r="B18" i="23" s="1"/>
  <c r="F28" i="23"/>
  <c r="K10" i="23"/>
  <c r="B35" i="23"/>
  <c r="B36" i="23" s="1"/>
  <c r="F25" i="23"/>
  <c r="D25" i="23"/>
  <c r="F17" i="23"/>
  <c r="F18" i="23" s="1"/>
  <c r="B26" i="23"/>
  <c r="B29" i="23" s="1"/>
  <c r="G16" i="23"/>
  <c r="G17" i="23" s="1"/>
  <c r="G18" i="23" s="1"/>
  <c r="B32" i="23"/>
  <c r="B34" i="23" s="1"/>
  <c r="K10" i="22"/>
  <c r="F19" i="22"/>
  <c r="F20" i="22" s="1"/>
  <c r="F21" i="22" s="1"/>
  <c r="F22" i="22" s="1"/>
  <c r="F28" i="22"/>
  <c r="B15" i="22"/>
  <c r="B16" i="22" s="1"/>
  <c r="B18" i="22" s="1"/>
  <c r="C15" i="22"/>
  <c r="C16" i="22" s="1"/>
  <c r="C18" i="22" s="1"/>
  <c r="C19" i="22" s="1"/>
  <c r="B35" i="22"/>
  <c r="B36" i="22" s="1"/>
  <c r="B26" i="22"/>
  <c r="B29" i="22" s="1"/>
  <c r="F25" i="22"/>
  <c r="D25" i="22"/>
  <c r="F10" i="22"/>
  <c r="F17" i="22"/>
  <c r="F18" i="22" s="1"/>
  <c r="G16" i="22"/>
  <c r="G17" i="22" s="1"/>
  <c r="G18" i="22" s="1"/>
  <c r="B32" i="22"/>
  <c r="F7" i="21"/>
  <c r="F24" i="21"/>
  <c r="B42" i="21"/>
  <c r="F35" i="21"/>
  <c r="B33" i="21"/>
  <c r="F32" i="21"/>
  <c r="F31" i="21"/>
  <c r="F33" i="21" s="1"/>
  <c r="C22" i="21"/>
  <c r="G16" i="21" s="1"/>
  <c r="B22" i="21"/>
  <c r="C17" i="21"/>
  <c r="B17" i="21"/>
  <c r="G15" i="21"/>
  <c r="F15" i="21"/>
  <c r="B24" i="21"/>
  <c r="B25" i="21" s="1"/>
  <c r="F63" i="20"/>
  <c r="F62" i="20"/>
  <c r="F61" i="20"/>
  <c r="F60" i="20"/>
  <c r="E60" i="20"/>
  <c r="E61" i="20" s="1"/>
  <c r="E62" i="20" s="1"/>
  <c r="E63" i="20" s="1"/>
  <c r="F56" i="20"/>
  <c r="B47" i="20"/>
  <c r="B46" i="20"/>
  <c r="B45" i="20"/>
  <c r="B44" i="20"/>
  <c r="G39" i="20"/>
  <c r="F39" i="20"/>
  <c r="E39" i="20"/>
  <c r="D39" i="20"/>
  <c r="I37" i="20"/>
  <c r="G37" i="20"/>
  <c r="F37" i="20"/>
  <c r="E37" i="20"/>
  <c r="D37" i="20"/>
  <c r="I36" i="20"/>
  <c r="J35" i="20"/>
  <c r="J36" i="20" s="1"/>
  <c r="I33" i="20"/>
  <c r="G33" i="20"/>
  <c r="F33" i="20"/>
  <c r="E33" i="20"/>
  <c r="D33" i="20"/>
  <c r="I32" i="20"/>
  <c r="J31" i="20"/>
  <c r="J33" i="20" s="1"/>
  <c r="G31" i="20"/>
  <c r="F31" i="20"/>
  <c r="E31" i="20"/>
  <c r="D31" i="20"/>
  <c r="I29" i="20"/>
  <c r="I28" i="20"/>
  <c r="N27" i="20"/>
  <c r="J27" i="20"/>
  <c r="J29" i="20" s="1"/>
  <c r="G27" i="20"/>
  <c r="G28" i="20" s="1"/>
  <c r="F27" i="20"/>
  <c r="F28" i="20" s="1"/>
  <c r="E27" i="20"/>
  <c r="E28" i="20" s="1"/>
  <c r="D27" i="20"/>
  <c r="D28" i="20" s="1"/>
  <c r="K22" i="20"/>
  <c r="K24" i="20" s="1"/>
  <c r="K18" i="20"/>
  <c r="K17" i="20"/>
  <c r="K14" i="20"/>
  <c r="F6" i="20" s="1"/>
  <c r="K12" i="20"/>
  <c r="F26" i="20" s="1"/>
  <c r="K11" i="20"/>
  <c r="D11" i="20"/>
  <c r="K19" i="20" s="1"/>
  <c r="K10" i="20"/>
  <c r="K9" i="20"/>
  <c r="K15" i="20" s="1"/>
  <c r="K3" i="20"/>
  <c r="J2" i="20" s="1"/>
  <c r="F24" i="18"/>
  <c r="F6" i="18"/>
  <c r="B28" i="18"/>
  <c r="F28" i="18" s="1"/>
  <c r="B42" i="18"/>
  <c r="F35" i="18"/>
  <c r="B33" i="18"/>
  <c r="F32" i="18"/>
  <c r="F31" i="18"/>
  <c r="F33" i="18" s="1"/>
  <c r="C22" i="18"/>
  <c r="B22" i="18"/>
  <c r="F16" i="18" s="1"/>
  <c r="C17" i="18"/>
  <c r="B17" i="18"/>
  <c r="G15" i="18"/>
  <c r="F15" i="18"/>
  <c r="B24" i="18"/>
  <c r="B25" i="18" s="1"/>
  <c r="K16" i="20" l="1"/>
  <c r="B50" i="27"/>
  <c r="B51" i="27" s="1"/>
  <c r="K20" i="20"/>
  <c r="G26" i="20"/>
  <c r="G29" i="20" s="1"/>
  <c r="G30" i="20" s="1"/>
  <c r="G32" i="20" s="1"/>
  <c r="G34" i="20" s="1"/>
  <c r="B48" i="20"/>
  <c r="B41" i="47"/>
  <c r="D41" i="47" s="1"/>
  <c r="G36" i="27"/>
  <c r="G40" i="27"/>
  <c r="G41" i="27" s="1"/>
  <c r="D40" i="27"/>
  <c r="D41" i="27" s="1"/>
  <c r="J28" i="20"/>
  <c r="K23" i="20"/>
  <c r="G17" i="21"/>
  <c r="E26" i="20"/>
  <c r="E29" i="20" s="1"/>
  <c r="E30" i="20" s="1"/>
  <c r="E32" i="20" s="1"/>
  <c r="E34" i="20" s="1"/>
  <c r="B41" i="62"/>
  <c r="D41" i="62" s="1"/>
  <c r="B41" i="57"/>
  <c r="D41" i="57" s="1"/>
  <c r="B41" i="59"/>
  <c r="D41" i="59" s="1"/>
  <c r="B41" i="55"/>
  <c r="D41" i="55" s="1"/>
  <c r="B41" i="65"/>
  <c r="D41" i="65" s="1"/>
  <c r="E40" i="51"/>
  <c r="E40" i="53"/>
  <c r="B41" i="52"/>
  <c r="D41" i="52" s="1"/>
  <c r="B19" i="26"/>
  <c r="G40" i="35"/>
  <c r="E40" i="40"/>
  <c r="E40" i="42"/>
  <c r="E40" i="45"/>
  <c r="E40" i="50"/>
  <c r="G40" i="42"/>
  <c r="G40" i="50"/>
  <c r="B41" i="61"/>
  <c r="D41" i="61" s="1"/>
  <c r="B41" i="64"/>
  <c r="D41" i="64" s="1"/>
  <c r="B41" i="63"/>
  <c r="D41" i="63" s="1"/>
  <c r="B41" i="58"/>
  <c r="D41" i="58" s="1"/>
  <c r="F28" i="21"/>
  <c r="C15" i="21"/>
  <c r="C16" i="21" s="1"/>
  <c r="C18" i="21" s="1"/>
  <c r="B15" i="21"/>
  <c r="B16" i="21" s="1"/>
  <c r="B18" i="21" s="1"/>
  <c r="G40" i="53"/>
  <c r="G40" i="51"/>
  <c r="G40" i="46"/>
  <c r="E40" i="46"/>
  <c r="G40" i="45"/>
  <c r="C40" i="41"/>
  <c r="F40" i="41"/>
  <c r="D40" i="41"/>
  <c r="G40" i="40"/>
  <c r="C40" i="39"/>
  <c r="F40" i="39"/>
  <c r="D40" i="39"/>
  <c r="G40" i="38"/>
  <c r="B41" i="38" s="1"/>
  <c r="D41" i="38" s="1"/>
  <c r="G40" i="37"/>
  <c r="B41" i="37" s="1"/>
  <c r="D41" i="37" s="1"/>
  <c r="G40" i="36"/>
  <c r="B41" i="36" s="1"/>
  <c r="D41" i="36" s="1"/>
  <c r="E40" i="35"/>
  <c r="E40" i="33"/>
  <c r="G40" i="33"/>
  <c r="C40" i="34"/>
  <c r="F40" i="34"/>
  <c r="D40" i="34"/>
  <c r="F40" i="32"/>
  <c r="C40" i="32"/>
  <c r="D40" i="32"/>
  <c r="F40" i="31"/>
  <c r="C40" i="31"/>
  <c r="E40" i="31" s="1"/>
  <c r="C40" i="30"/>
  <c r="D40" i="30"/>
  <c r="F40" i="30"/>
  <c r="D38" i="29"/>
  <c r="D39" i="29" s="1"/>
  <c r="F38" i="29"/>
  <c r="F39" i="29" s="1"/>
  <c r="E38" i="29"/>
  <c r="E39" i="29" s="1"/>
  <c r="C38" i="29"/>
  <c r="C39" i="29" s="1"/>
  <c r="G38" i="29"/>
  <c r="G39" i="29" s="1"/>
  <c r="G40" i="28"/>
  <c r="G41" i="28" s="1"/>
  <c r="E40" i="28"/>
  <c r="E41" i="28" s="1"/>
  <c r="D36" i="28"/>
  <c r="D40" i="28"/>
  <c r="D41" i="28" s="1"/>
  <c r="F52" i="28"/>
  <c r="F47" i="28"/>
  <c r="F48" i="28" s="1"/>
  <c r="F49" i="28" s="1"/>
  <c r="F51" i="28"/>
  <c r="F40" i="28"/>
  <c r="F41" i="28" s="1"/>
  <c r="B52" i="28"/>
  <c r="E40" i="27"/>
  <c r="E41" i="27" s="1"/>
  <c r="F40" i="27"/>
  <c r="F41" i="27" s="1"/>
  <c r="D38" i="26"/>
  <c r="D39" i="26" s="1"/>
  <c r="C38" i="26"/>
  <c r="C39" i="26" s="1"/>
  <c r="F38" i="26"/>
  <c r="F39" i="26" s="1"/>
  <c r="E38" i="26"/>
  <c r="E39" i="26" s="1"/>
  <c r="G39" i="26"/>
  <c r="G19" i="26"/>
  <c r="G20" i="26" s="1"/>
  <c r="G21" i="26" s="1"/>
  <c r="G22" i="26" s="1"/>
  <c r="B26" i="25"/>
  <c r="B29" i="25" s="1"/>
  <c r="F29" i="25" s="1"/>
  <c r="C19" i="25"/>
  <c r="B19" i="25"/>
  <c r="F25" i="25"/>
  <c r="D25" i="25"/>
  <c r="F19" i="25"/>
  <c r="F20" i="25" s="1"/>
  <c r="F21" i="25" s="1"/>
  <c r="F22" i="25" s="1"/>
  <c r="B34" i="25"/>
  <c r="G19" i="24"/>
  <c r="G20" i="24" s="1"/>
  <c r="G21" i="24" s="1"/>
  <c r="G22" i="24" s="1"/>
  <c r="B19" i="24"/>
  <c r="C19" i="24"/>
  <c r="B34" i="24"/>
  <c r="B19" i="23"/>
  <c r="F29" i="23"/>
  <c r="C19" i="23"/>
  <c r="D38" i="23"/>
  <c r="D39" i="23" s="1"/>
  <c r="C38" i="23"/>
  <c r="C39" i="23" s="1"/>
  <c r="E38" i="23"/>
  <c r="E39" i="23" s="1"/>
  <c r="F38" i="23"/>
  <c r="F39" i="23" s="1"/>
  <c r="G38" i="23"/>
  <c r="G39" i="23" s="1"/>
  <c r="G19" i="23"/>
  <c r="G20" i="23" s="1"/>
  <c r="G21" i="23" s="1"/>
  <c r="G22" i="23" s="1"/>
  <c r="B19" i="22"/>
  <c r="F29" i="22"/>
  <c r="G19" i="22"/>
  <c r="G20" i="22" s="1"/>
  <c r="G21" i="22" s="1"/>
  <c r="G22" i="22" s="1"/>
  <c r="B34" i="22"/>
  <c r="B35" i="21"/>
  <c r="B36" i="21" s="1"/>
  <c r="B26" i="21"/>
  <c r="B29" i="21" s="1"/>
  <c r="F25" i="21"/>
  <c r="D25" i="21"/>
  <c r="G18" i="21"/>
  <c r="F10" i="21"/>
  <c r="K10" i="21"/>
  <c r="F16" i="21"/>
  <c r="F17" i="21" s="1"/>
  <c r="F18" i="21" s="1"/>
  <c r="B32" i="21"/>
  <c r="G19" i="21"/>
  <c r="G20" i="21" s="1"/>
  <c r="G21" i="21" s="1"/>
  <c r="G22" i="21" s="1"/>
  <c r="F29" i="20"/>
  <c r="F30" i="20" s="1"/>
  <c r="F32" i="20" s="1"/>
  <c r="F34" i="20" s="1"/>
  <c r="F36" i="20" s="1"/>
  <c r="J37" i="20"/>
  <c r="D26" i="20"/>
  <c r="D29" i="20" s="1"/>
  <c r="D30" i="20" s="1"/>
  <c r="D32" i="20" s="1"/>
  <c r="D34" i="20" s="1"/>
  <c r="D36" i="20" s="1"/>
  <c r="J32" i="20"/>
  <c r="B49" i="20"/>
  <c r="K25" i="20" s="1"/>
  <c r="B50" i="20" s="1"/>
  <c r="B51" i="20" s="1"/>
  <c r="F46" i="20" s="1"/>
  <c r="B15" i="18"/>
  <c r="B16" i="18" s="1"/>
  <c r="B18" i="18" s="1"/>
  <c r="C15" i="18"/>
  <c r="C16" i="18" s="1"/>
  <c r="C18" i="18" s="1"/>
  <c r="K10" i="18"/>
  <c r="F19" i="18"/>
  <c r="F20" i="18" s="1"/>
  <c r="F21" i="18" s="1"/>
  <c r="F22" i="18" s="1"/>
  <c r="B35" i="18"/>
  <c r="B36" i="18" s="1"/>
  <c r="B26" i="18"/>
  <c r="B29" i="18" s="1"/>
  <c r="F29" i="18" s="1"/>
  <c r="F25" i="18"/>
  <c r="D25" i="18"/>
  <c r="F17" i="18"/>
  <c r="F18" i="18" s="1"/>
  <c r="F10" i="18"/>
  <c r="G16" i="18"/>
  <c r="G17" i="18" s="1"/>
  <c r="G18" i="18" s="1"/>
  <c r="B32" i="18"/>
  <c r="B34" i="18" s="1"/>
  <c r="G38" i="18" s="1"/>
  <c r="F10" i="17"/>
  <c r="F24" i="17"/>
  <c r="B42" i="17"/>
  <c r="F35" i="17"/>
  <c r="B33" i="17"/>
  <c r="F32" i="17"/>
  <c r="F31" i="17"/>
  <c r="F33" i="17" s="1"/>
  <c r="C22" i="17"/>
  <c r="B22" i="17"/>
  <c r="F16" i="17" s="1"/>
  <c r="C17" i="17"/>
  <c r="B17" i="17"/>
  <c r="G15" i="17"/>
  <c r="F15" i="17"/>
  <c r="B24" i="17"/>
  <c r="B25" i="17" s="1"/>
  <c r="B28" i="16"/>
  <c r="F8" i="16"/>
  <c r="F7" i="16"/>
  <c r="F9" i="16"/>
  <c r="F24" i="16" s="1"/>
  <c r="F5" i="16"/>
  <c r="F6" i="16"/>
  <c r="B42" i="16"/>
  <c r="F35" i="16"/>
  <c r="B33" i="16"/>
  <c r="F32" i="16"/>
  <c r="F31" i="16"/>
  <c r="F33" i="16" s="1"/>
  <c r="C22" i="16"/>
  <c r="B22" i="16"/>
  <c r="F16" i="16" s="1"/>
  <c r="C17" i="16"/>
  <c r="B17" i="16"/>
  <c r="G15" i="16"/>
  <c r="F15" i="16"/>
  <c r="B24" i="16"/>
  <c r="B25" i="16" s="1"/>
  <c r="F46" i="27" l="1"/>
  <c r="F47" i="27"/>
  <c r="F52" i="27"/>
  <c r="B52" i="27"/>
  <c r="F51" i="27"/>
  <c r="G36" i="20"/>
  <c r="G40" i="20"/>
  <c r="G41" i="20" s="1"/>
  <c r="F17" i="17"/>
  <c r="F18" i="17" s="1"/>
  <c r="B41" i="40"/>
  <c r="D41" i="40" s="1"/>
  <c r="E36" i="20"/>
  <c r="E40" i="20"/>
  <c r="E41" i="20" s="1"/>
  <c r="F17" i="16"/>
  <c r="F18" i="16" s="1"/>
  <c r="F48" i="27"/>
  <c r="F49" i="27" s="1"/>
  <c r="B41" i="53"/>
  <c r="D41" i="53" s="1"/>
  <c r="B41" i="42"/>
  <c r="D41" i="42" s="1"/>
  <c r="F29" i="21"/>
  <c r="B41" i="45"/>
  <c r="D41" i="45" s="1"/>
  <c r="G40" i="41"/>
  <c r="B41" i="51"/>
  <c r="D41" i="51" s="1"/>
  <c r="E40" i="34"/>
  <c r="G40" i="34"/>
  <c r="B41" i="35"/>
  <c r="D41" i="35" s="1"/>
  <c r="B41" i="50"/>
  <c r="D41" i="50" s="1"/>
  <c r="E40" i="39"/>
  <c r="G40" i="39"/>
  <c r="E40" i="41"/>
  <c r="B41" i="41" s="1"/>
  <c r="D41" i="41" s="1"/>
  <c r="K10" i="17"/>
  <c r="B41" i="46"/>
  <c r="D41" i="46" s="1"/>
  <c r="B41" i="33"/>
  <c r="D41" i="33" s="1"/>
  <c r="E40" i="32"/>
  <c r="G40" i="32"/>
  <c r="G40" i="31"/>
  <c r="B41" i="31" s="1"/>
  <c r="D41" i="31" s="1"/>
  <c r="G40" i="30"/>
  <c r="E40" i="30"/>
  <c r="C40" i="29"/>
  <c r="F40" i="29"/>
  <c r="D40" i="29"/>
  <c r="F53" i="28"/>
  <c r="F55" i="28" s="1"/>
  <c r="F57" i="28" s="1"/>
  <c r="F53" i="27"/>
  <c r="F40" i="26"/>
  <c r="D40" i="26"/>
  <c r="C40" i="26"/>
  <c r="F38" i="25"/>
  <c r="F39" i="25" s="1"/>
  <c r="D38" i="25"/>
  <c r="D39" i="25" s="1"/>
  <c r="C38" i="25"/>
  <c r="C39" i="25" s="1"/>
  <c r="E38" i="25"/>
  <c r="E39" i="25" s="1"/>
  <c r="G38" i="25"/>
  <c r="G39" i="25" s="1"/>
  <c r="D38" i="24"/>
  <c r="D39" i="24" s="1"/>
  <c r="C38" i="24"/>
  <c r="C39" i="24" s="1"/>
  <c r="F38" i="24"/>
  <c r="F39" i="24" s="1"/>
  <c r="E38" i="24"/>
  <c r="E39" i="24" s="1"/>
  <c r="G38" i="24"/>
  <c r="G39" i="24" s="1"/>
  <c r="C40" i="23"/>
  <c r="F40" i="23"/>
  <c r="D40" i="23"/>
  <c r="D38" i="22"/>
  <c r="D39" i="22" s="1"/>
  <c r="C38" i="22"/>
  <c r="C39" i="22" s="1"/>
  <c r="F38" i="22"/>
  <c r="F39" i="22" s="1"/>
  <c r="E38" i="22"/>
  <c r="E39" i="22" s="1"/>
  <c r="G38" i="22"/>
  <c r="G39" i="22" s="1"/>
  <c r="B19" i="21"/>
  <c r="C19" i="21"/>
  <c r="B34" i="21"/>
  <c r="F19" i="21"/>
  <c r="F20" i="21" s="1"/>
  <c r="F21" i="21" s="1"/>
  <c r="F22" i="21" s="1"/>
  <c r="F52" i="20"/>
  <c r="B52" i="20"/>
  <c r="F47" i="20"/>
  <c r="F48" i="20" s="1"/>
  <c r="F49" i="20" s="1"/>
  <c r="D40" i="20"/>
  <c r="D41" i="20" s="1"/>
  <c r="F40" i="20"/>
  <c r="F41" i="20" s="1"/>
  <c r="F51" i="20"/>
  <c r="B19" i="18"/>
  <c r="C19" i="18"/>
  <c r="D38" i="18"/>
  <c r="D39" i="18" s="1"/>
  <c r="C38" i="18"/>
  <c r="C39" i="18" s="1"/>
  <c r="D40" i="18" s="1"/>
  <c r="E38" i="18"/>
  <c r="E39" i="18" s="1"/>
  <c r="F38" i="18"/>
  <c r="F39" i="18" s="1"/>
  <c r="G39" i="18"/>
  <c r="G19" i="18"/>
  <c r="G20" i="18" s="1"/>
  <c r="G21" i="18" s="1"/>
  <c r="G22" i="18" s="1"/>
  <c r="B15" i="17"/>
  <c r="B16" i="17" s="1"/>
  <c r="B18" i="17" s="1"/>
  <c r="B19" i="17" s="1"/>
  <c r="C15" i="17"/>
  <c r="C16" i="17" s="1"/>
  <c r="C18" i="17" s="1"/>
  <c r="F28" i="17"/>
  <c r="B35" i="17"/>
  <c r="B36" i="17" s="1"/>
  <c r="F25" i="17"/>
  <c r="D25" i="17"/>
  <c r="B26" i="17"/>
  <c r="B29" i="17" s="1"/>
  <c r="F19" i="17"/>
  <c r="F20" i="17" s="1"/>
  <c r="F21" i="17" s="1"/>
  <c r="F22" i="17" s="1"/>
  <c r="G16" i="17"/>
  <c r="G17" i="17" s="1"/>
  <c r="G18" i="17" s="1"/>
  <c r="B32" i="17"/>
  <c r="F10" i="16"/>
  <c r="B15" i="16"/>
  <c r="B16" i="16" s="1"/>
  <c r="B18" i="16" s="1"/>
  <c r="C15" i="16"/>
  <c r="C16" i="16" s="1"/>
  <c r="C18" i="16" s="1"/>
  <c r="B35" i="16"/>
  <c r="B36" i="16" s="1"/>
  <c r="K10" i="16"/>
  <c r="F28" i="16"/>
  <c r="F25" i="16"/>
  <c r="D25" i="16"/>
  <c r="B26" i="16"/>
  <c r="B29" i="16" s="1"/>
  <c r="F19" i="16"/>
  <c r="F20" i="16" s="1"/>
  <c r="F21" i="16" s="1"/>
  <c r="F22" i="16" s="1"/>
  <c r="G16" i="16"/>
  <c r="G17" i="16" s="1"/>
  <c r="G18" i="16" s="1"/>
  <c r="B32" i="16"/>
  <c r="F8" i="15"/>
  <c r="F7" i="15"/>
  <c r="F9" i="15"/>
  <c r="F24" i="15" s="1"/>
  <c r="F6" i="15"/>
  <c r="F5" i="15"/>
  <c r="B42" i="15"/>
  <c r="F35" i="15"/>
  <c r="B33" i="15"/>
  <c r="F32" i="15"/>
  <c r="F31" i="15"/>
  <c r="F33" i="15" s="1"/>
  <c r="C22" i="15"/>
  <c r="B22" i="15"/>
  <c r="F16" i="15" s="1"/>
  <c r="C17" i="15"/>
  <c r="B17" i="15"/>
  <c r="G15" i="15"/>
  <c r="F15" i="15"/>
  <c r="B24" i="15"/>
  <c r="B25" i="15" s="1"/>
  <c r="F24" i="14"/>
  <c r="C15" i="14"/>
  <c r="C16" i="14" s="1"/>
  <c r="B10" i="14"/>
  <c r="B42" i="14" s="1"/>
  <c r="F35" i="14"/>
  <c r="B33" i="14"/>
  <c r="F32" i="14"/>
  <c r="F31" i="14"/>
  <c r="F33" i="14" s="1"/>
  <c r="B28" i="14"/>
  <c r="F28" i="14" s="1"/>
  <c r="C22" i="14"/>
  <c r="B22" i="14"/>
  <c r="F16" i="14" s="1"/>
  <c r="C17" i="14"/>
  <c r="B17" i="14"/>
  <c r="G15" i="14"/>
  <c r="F15" i="14"/>
  <c r="B24" i="14"/>
  <c r="B25" i="14" s="1"/>
  <c r="K10" i="14"/>
  <c r="B15" i="14"/>
  <c r="B16" i="14" s="1"/>
  <c r="F24" i="13"/>
  <c r="B15" i="13"/>
  <c r="B16" i="13" s="1"/>
  <c r="C15" i="13"/>
  <c r="C16" i="13" s="1"/>
  <c r="B42" i="13"/>
  <c r="F35" i="13"/>
  <c r="B33" i="13"/>
  <c r="F32" i="13"/>
  <c r="F31" i="13"/>
  <c r="F33" i="13" s="1"/>
  <c r="B28" i="13"/>
  <c r="F28" i="13" s="1"/>
  <c r="C22" i="13"/>
  <c r="B22" i="13"/>
  <c r="F16" i="13" s="1"/>
  <c r="F19" i="13" s="1"/>
  <c r="F20" i="13" s="1"/>
  <c r="C17" i="13"/>
  <c r="B17" i="13"/>
  <c r="G15" i="13"/>
  <c r="F15" i="13"/>
  <c r="B24" i="13"/>
  <c r="B25" i="13" s="1"/>
  <c r="K10" i="13"/>
  <c r="F10" i="13"/>
  <c r="F8" i="12"/>
  <c r="F10" i="12" s="1"/>
  <c r="F24" i="12"/>
  <c r="B28" i="12"/>
  <c r="B42" i="12"/>
  <c r="F35" i="12"/>
  <c r="B33" i="12"/>
  <c r="F32" i="12"/>
  <c r="F31" i="12"/>
  <c r="F33" i="12" s="1"/>
  <c r="C22" i="12"/>
  <c r="B22" i="12"/>
  <c r="F16" i="12" s="1"/>
  <c r="F19" i="12" s="1"/>
  <c r="F20" i="12" s="1"/>
  <c r="C17" i="12"/>
  <c r="B17" i="12"/>
  <c r="G15" i="12"/>
  <c r="F15" i="12"/>
  <c r="B24" i="12"/>
  <c r="B25" i="12" s="1"/>
  <c r="B28" i="11"/>
  <c r="B42" i="11"/>
  <c r="F35" i="11"/>
  <c r="B33" i="11"/>
  <c r="F32" i="11"/>
  <c r="F31" i="11"/>
  <c r="F33" i="11" s="1"/>
  <c r="F24" i="11"/>
  <c r="C22" i="11"/>
  <c r="B22" i="11"/>
  <c r="F16" i="11" s="1"/>
  <c r="C17" i="11"/>
  <c r="B17" i="11"/>
  <c r="G15" i="11"/>
  <c r="F15" i="11"/>
  <c r="B24" i="11"/>
  <c r="B25" i="11" s="1"/>
  <c r="F63" i="10"/>
  <c r="F62" i="10"/>
  <c r="F61" i="10"/>
  <c r="F60" i="10"/>
  <c r="E60" i="10"/>
  <c r="E61" i="10" s="1"/>
  <c r="E62" i="10" s="1"/>
  <c r="E63" i="10" s="1"/>
  <c r="F56" i="10"/>
  <c r="B47" i="10"/>
  <c r="B46" i="10"/>
  <c r="B45" i="10"/>
  <c r="B44" i="10"/>
  <c r="G39" i="10"/>
  <c r="F39" i="10"/>
  <c r="E39" i="10"/>
  <c r="D39" i="10"/>
  <c r="I37" i="10"/>
  <c r="G37" i="10"/>
  <c r="F37" i="10"/>
  <c r="E37" i="10"/>
  <c r="D37" i="10"/>
  <c r="I36" i="10"/>
  <c r="J35" i="10"/>
  <c r="J37" i="10" s="1"/>
  <c r="I33" i="10"/>
  <c r="G33" i="10"/>
  <c r="F33" i="10"/>
  <c r="E33" i="10"/>
  <c r="D33" i="10"/>
  <c r="I32" i="10"/>
  <c r="J31" i="10"/>
  <c r="J32" i="10" s="1"/>
  <c r="G31" i="10"/>
  <c r="F31" i="10"/>
  <c r="E31" i="10"/>
  <c r="D31" i="10"/>
  <c r="I29" i="10"/>
  <c r="I28" i="10"/>
  <c r="N27" i="10"/>
  <c r="J27" i="10"/>
  <c r="J28" i="10" s="1"/>
  <c r="G27" i="10"/>
  <c r="G28" i="10" s="1"/>
  <c r="F27" i="10"/>
  <c r="F28" i="10" s="1"/>
  <c r="E27" i="10"/>
  <c r="E28" i="10" s="1"/>
  <c r="D27" i="10"/>
  <c r="D28" i="10" s="1"/>
  <c r="K23" i="10"/>
  <c r="K22" i="10"/>
  <c r="K24" i="10" s="1"/>
  <c r="K18" i="10"/>
  <c r="K17" i="10"/>
  <c r="K14" i="10"/>
  <c r="F6" i="10" s="1"/>
  <c r="K12" i="10"/>
  <c r="D26" i="10" s="1"/>
  <c r="K11" i="10"/>
  <c r="D11" i="10"/>
  <c r="K19" i="10" s="1"/>
  <c r="K10" i="10"/>
  <c r="K9" i="10"/>
  <c r="K16" i="10" s="1"/>
  <c r="K3" i="10"/>
  <c r="J2" i="10" s="1"/>
  <c r="C18" i="13" l="1"/>
  <c r="F17" i="11"/>
  <c r="K15" i="10"/>
  <c r="F26" i="10"/>
  <c r="F29" i="10" s="1"/>
  <c r="F30" i="10" s="1"/>
  <c r="F32" i="10" s="1"/>
  <c r="F34" i="10" s="1"/>
  <c r="F36" i="10" s="1"/>
  <c r="J29" i="10"/>
  <c r="F17" i="14"/>
  <c r="F18" i="14" s="1"/>
  <c r="C18" i="14"/>
  <c r="B35" i="13"/>
  <c r="B36" i="13" s="1"/>
  <c r="B18" i="14"/>
  <c r="B18" i="13"/>
  <c r="B19" i="13" s="1"/>
  <c r="E26" i="10"/>
  <c r="E29" i="10" s="1"/>
  <c r="E30" i="10" s="1"/>
  <c r="E32" i="10" s="1"/>
  <c r="E34" i="10" s="1"/>
  <c r="J36" i="10"/>
  <c r="B48" i="10"/>
  <c r="F55" i="27"/>
  <c r="F57" i="27" s="1"/>
  <c r="F17" i="15"/>
  <c r="F18" i="15" s="1"/>
  <c r="B35" i="14"/>
  <c r="B36" i="14" s="1"/>
  <c r="B41" i="34"/>
  <c r="D41" i="34" s="1"/>
  <c r="C19" i="14"/>
  <c r="C19" i="17"/>
  <c r="B41" i="39"/>
  <c r="D41" i="39" s="1"/>
  <c r="C19" i="13"/>
  <c r="B41" i="32"/>
  <c r="D41" i="32" s="1"/>
  <c r="B41" i="30"/>
  <c r="D41" i="30" s="1"/>
  <c r="E40" i="29"/>
  <c r="G40" i="29"/>
  <c r="E40" i="26"/>
  <c r="G40" i="26"/>
  <c r="F40" i="25"/>
  <c r="C40" i="25"/>
  <c r="D40" i="25"/>
  <c r="C40" i="24"/>
  <c r="F40" i="24"/>
  <c r="D40" i="24"/>
  <c r="E40" i="23"/>
  <c r="G40" i="23"/>
  <c r="F40" i="22"/>
  <c r="C40" i="22"/>
  <c r="D40" i="22"/>
  <c r="D38" i="21"/>
  <c r="D39" i="21" s="1"/>
  <c r="C38" i="21"/>
  <c r="C39" i="21" s="1"/>
  <c r="F38" i="21"/>
  <c r="F39" i="21" s="1"/>
  <c r="E38" i="21"/>
  <c r="E39" i="21" s="1"/>
  <c r="G38" i="21"/>
  <c r="G39" i="21" s="1"/>
  <c r="F53" i="20"/>
  <c r="F55" i="20" s="1"/>
  <c r="F57" i="20" s="1"/>
  <c r="F40" i="18"/>
  <c r="C40" i="18"/>
  <c r="E40" i="18" s="1"/>
  <c r="F29" i="17"/>
  <c r="B34" i="17"/>
  <c r="G19" i="17"/>
  <c r="G20" i="17" s="1"/>
  <c r="G21" i="17" s="1"/>
  <c r="G22" i="17" s="1"/>
  <c r="F29" i="16"/>
  <c r="C19" i="16"/>
  <c r="B19" i="16"/>
  <c r="B34" i="16"/>
  <c r="G19" i="16"/>
  <c r="G20" i="16" s="1"/>
  <c r="G21" i="16" s="1"/>
  <c r="G22" i="16" s="1"/>
  <c r="B15" i="15"/>
  <c r="B16" i="15" s="1"/>
  <c r="B18" i="15" s="1"/>
  <c r="F10" i="15"/>
  <c r="B35" i="15"/>
  <c r="B36" i="15" s="1"/>
  <c r="K10" i="15"/>
  <c r="C15" i="15"/>
  <c r="C16" i="15" s="1"/>
  <c r="C18" i="15" s="1"/>
  <c r="F28" i="15"/>
  <c r="F25" i="15"/>
  <c r="D25" i="15"/>
  <c r="B26" i="15"/>
  <c r="B29" i="15" s="1"/>
  <c r="F19" i="15"/>
  <c r="F20" i="15" s="1"/>
  <c r="F21" i="15" s="1"/>
  <c r="F22" i="15" s="1"/>
  <c r="G16" i="15"/>
  <c r="G17" i="15" s="1"/>
  <c r="G18" i="15" s="1"/>
  <c r="B32" i="15"/>
  <c r="B34" i="15" s="1"/>
  <c r="G38" i="15" s="1"/>
  <c r="F10" i="14"/>
  <c r="F25" i="14"/>
  <c r="D25" i="14"/>
  <c r="B19" i="14"/>
  <c r="B26" i="14"/>
  <c r="B29" i="14" s="1"/>
  <c r="F29" i="14" s="1"/>
  <c r="F19" i="14"/>
  <c r="F20" i="14" s="1"/>
  <c r="F21" i="14" s="1"/>
  <c r="F22" i="14" s="1"/>
  <c r="G16" i="14"/>
  <c r="G17" i="14" s="1"/>
  <c r="G18" i="14" s="1"/>
  <c r="B32" i="14"/>
  <c r="F21" i="13"/>
  <c r="F22" i="13" s="1"/>
  <c r="F25" i="13"/>
  <c r="D25" i="13"/>
  <c r="B26" i="13"/>
  <c r="B29" i="13" s="1"/>
  <c r="F29" i="13" s="1"/>
  <c r="F17" i="13"/>
  <c r="F18" i="13" s="1"/>
  <c r="G16" i="13"/>
  <c r="G17" i="13" s="1"/>
  <c r="G18" i="13" s="1"/>
  <c r="B32" i="13"/>
  <c r="C15" i="12"/>
  <c r="C16" i="12" s="1"/>
  <c r="C18" i="12" s="1"/>
  <c r="K10" i="12"/>
  <c r="B35" i="12"/>
  <c r="B36" i="12" s="1"/>
  <c r="B15" i="12"/>
  <c r="B16" i="12" s="1"/>
  <c r="B18" i="12" s="1"/>
  <c r="F28" i="12"/>
  <c r="F21" i="12"/>
  <c r="F22" i="12" s="1"/>
  <c r="F25" i="12"/>
  <c r="D25" i="12"/>
  <c r="B26" i="12"/>
  <c r="B29" i="12" s="1"/>
  <c r="F17" i="12"/>
  <c r="F18" i="12" s="1"/>
  <c r="G16" i="12"/>
  <c r="G17" i="12" s="1"/>
  <c r="G18" i="12" s="1"/>
  <c r="B32" i="12"/>
  <c r="B35" i="11"/>
  <c r="B36" i="11" s="1"/>
  <c r="C15" i="11"/>
  <c r="C16" i="11" s="1"/>
  <c r="C18" i="11" s="1"/>
  <c r="B15" i="11"/>
  <c r="B16" i="11" s="1"/>
  <c r="B18" i="11" s="1"/>
  <c r="F28" i="11"/>
  <c r="F10" i="11"/>
  <c r="F25" i="11"/>
  <c r="D25" i="11"/>
  <c r="K10" i="11"/>
  <c r="F18" i="11"/>
  <c r="F19" i="11"/>
  <c r="F20" i="11" s="1"/>
  <c r="F21" i="11" s="1"/>
  <c r="F22" i="11" s="1"/>
  <c r="B26" i="11"/>
  <c r="B29" i="11" s="1"/>
  <c r="G16" i="11"/>
  <c r="G17" i="11" s="1"/>
  <c r="G18" i="11" s="1"/>
  <c r="B32" i="11"/>
  <c r="D29" i="10"/>
  <c r="D30" i="10" s="1"/>
  <c r="D32" i="10" s="1"/>
  <c r="D34" i="10" s="1"/>
  <c r="D36" i="10" s="1"/>
  <c r="J33" i="10"/>
  <c r="K20" i="10"/>
  <c r="G26" i="10"/>
  <c r="G29" i="10" s="1"/>
  <c r="G30" i="10" s="1"/>
  <c r="G32" i="10" s="1"/>
  <c r="G34" i="10" s="1"/>
  <c r="G36" i="10" s="1"/>
  <c r="B49" i="10"/>
  <c r="K25" i="10" s="1"/>
  <c r="B50" i="10" s="1"/>
  <c r="B51" i="10" s="1"/>
  <c r="F51" i="10" s="1"/>
  <c r="F56" i="8"/>
  <c r="F56" i="9"/>
  <c r="F56" i="1"/>
  <c r="F63" i="9"/>
  <c r="F62" i="9"/>
  <c r="F61" i="9"/>
  <c r="E61" i="9"/>
  <c r="E62" i="9" s="1"/>
  <c r="E63" i="9" s="1"/>
  <c r="F60" i="9"/>
  <c r="E60" i="9"/>
  <c r="B47" i="9"/>
  <c r="B46" i="9"/>
  <c r="B45" i="9"/>
  <c r="B44" i="9"/>
  <c r="G39" i="9"/>
  <c r="F39" i="9"/>
  <c r="E39" i="9"/>
  <c r="D39" i="9"/>
  <c r="I37" i="9"/>
  <c r="G37" i="9"/>
  <c r="F37" i="9"/>
  <c r="E37" i="9"/>
  <c r="D37" i="9"/>
  <c r="J36" i="9"/>
  <c r="I36" i="9"/>
  <c r="J35" i="9"/>
  <c r="J37" i="9" s="1"/>
  <c r="I33" i="9"/>
  <c r="G33" i="9"/>
  <c r="F33" i="9"/>
  <c r="E33" i="9"/>
  <c r="D33" i="9"/>
  <c r="I32" i="9"/>
  <c r="J31" i="9"/>
  <c r="J32" i="9" s="1"/>
  <c r="G31" i="9"/>
  <c r="F31" i="9"/>
  <c r="E31" i="9"/>
  <c r="D31" i="9"/>
  <c r="I29" i="9"/>
  <c r="I28" i="9"/>
  <c r="N27" i="9"/>
  <c r="J27" i="9"/>
  <c r="J28" i="9" s="1"/>
  <c r="G27" i="9"/>
  <c r="G28" i="9" s="1"/>
  <c r="F27" i="9"/>
  <c r="F28" i="9" s="1"/>
  <c r="E27" i="9"/>
  <c r="E28" i="9" s="1"/>
  <c r="D27" i="9"/>
  <c r="D28" i="9" s="1"/>
  <c r="K22" i="9"/>
  <c r="K24" i="9" s="1"/>
  <c r="K18" i="9"/>
  <c r="K17" i="9"/>
  <c r="K14" i="9"/>
  <c r="F6" i="9" s="1"/>
  <c r="K12" i="9"/>
  <c r="D26" i="9" s="1"/>
  <c r="K11" i="9"/>
  <c r="D11" i="9"/>
  <c r="K20" i="9" s="1"/>
  <c r="K10" i="9"/>
  <c r="K9" i="9"/>
  <c r="K16" i="9" s="1"/>
  <c r="K3" i="9"/>
  <c r="J2" i="9"/>
  <c r="F63" i="8"/>
  <c r="F62" i="8"/>
  <c r="F61" i="8"/>
  <c r="F60" i="8"/>
  <c r="E60" i="8"/>
  <c r="E61" i="8" s="1"/>
  <c r="E62" i="8" s="1"/>
  <c r="E63" i="8" s="1"/>
  <c r="B47" i="8"/>
  <c r="B46" i="8"/>
  <c r="B45" i="8"/>
  <c r="B44" i="8"/>
  <c r="G39" i="8"/>
  <c r="F39" i="8"/>
  <c r="E39" i="8"/>
  <c r="D39" i="8"/>
  <c r="I37" i="8"/>
  <c r="G37" i="8"/>
  <c r="F37" i="8"/>
  <c r="E37" i="8"/>
  <c r="D37" i="8"/>
  <c r="I36" i="8"/>
  <c r="J35" i="8"/>
  <c r="J37" i="8" s="1"/>
  <c r="I33" i="8"/>
  <c r="G33" i="8"/>
  <c r="F33" i="8"/>
  <c r="E33" i="8"/>
  <c r="D33" i="8"/>
  <c r="I32" i="8"/>
  <c r="J31" i="8"/>
  <c r="J32" i="8" s="1"/>
  <c r="G31" i="8"/>
  <c r="F31" i="8"/>
  <c r="E31" i="8"/>
  <c r="D31" i="8"/>
  <c r="I29" i="8"/>
  <c r="I28" i="8"/>
  <c r="N27" i="8"/>
  <c r="J27" i="8"/>
  <c r="J28" i="8" s="1"/>
  <c r="G27" i="8"/>
  <c r="G28" i="8" s="1"/>
  <c r="F27" i="8"/>
  <c r="F28" i="8" s="1"/>
  <c r="E27" i="8"/>
  <c r="E28" i="8" s="1"/>
  <c r="D27" i="8"/>
  <c r="D28" i="8" s="1"/>
  <c r="K22" i="8"/>
  <c r="K24" i="8" s="1"/>
  <c r="K18" i="8"/>
  <c r="K17" i="8"/>
  <c r="K14" i="8"/>
  <c r="F6" i="8" s="1"/>
  <c r="K12" i="8"/>
  <c r="D26" i="8" s="1"/>
  <c r="K11" i="8"/>
  <c r="D11" i="8"/>
  <c r="K19" i="8" s="1"/>
  <c r="K10" i="8"/>
  <c r="K9" i="8"/>
  <c r="K16" i="8" s="1"/>
  <c r="K3" i="8"/>
  <c r="J2" i="8" s="1"/>
  <c r="J36" i="8" l="1"/>
  <c r="B48" i="8"/>
  <c r="K15" i="9"/>
  <c r="K23" i="9"/>
  <c r="E26" i="9"/>
  <c r="E29" i="9" s="1"/>
  <c r="E30" i="9" s="1"/>
  <c r="E32" i="9" s="1"/>
  <c r="E34" i="9" s="1"/>
  <c r="E36" i="10"/>
  <c r="E40" i="10"/>
  <c r="E41" i="10" s="1"/>
  <c r="B48" i="9"/>
  <c r="F40" i="10"/>
  <c r="F41" i="10" s="1"/>
  <c r="G19" i="13"/>
  <c r="G20" i="13" s="1"/>
  <c r="G21" i="13" s="1"/>
  <c r="G22" i="13" s="1"/>
  <c r="E26" i="8"/>
  <c r="E29" i="8" s="1"/>
  <c r="E30" i="8" s="1"/>
  <c r="E32" i="8" s="1"/>
  <c r="E34" i="8" s="1"/>
  <c r="K15" i="8"/>
  <c r="K23" i="8"/>
  <c r="J29" i="8"/>
  <c r="F26" i="9"/>
  <c r="F29" i="9" s="1"/>
  <c r="F30" i="9" s="1"/>
  <c r="F32" i="9" s="1"/>
  <c r="F34" i="9" s="1"/>
  <c r="F26" i="8"/>
  <c r="F29" i="8" s="1"/>
  <c r="F30" i="8" s="1"/>
  <c r="F32" i="8" s="1"/>
  <c r="F34" i="8" s="1"/>
  <c r="J29" i="9"/>
  <c r="C19" i="12"/>
  <c r="B19" i="12"/>
  <c r="F29" i="12"/>
  <c r="B41" i="29"/>
  <c r="D41" i="29" s="1"/>
  <c r="B41" i="26"/>
  <c r="D41" i="26" s="1"/>
  <c r="E40" i="25"/>
  <c r="G40" i="25"/>
  <c r="E40" i="24"/>
  <c r="G40" i="24"/>
  <c r="B41" i="23"/>
  <c r="D41" i="23" s="1"/>
  <c r="E40" i="22"/>
  <c r="G40" i="22"/>
  <c r="C40" i="21"/>
  <c r="F40" i="21"/>
  <c r="D40" i="21"/>
  <c r="G40" i="18"/>
  <c r="B41" i="18" s="1"/>
  <c r="D41" i="18" s="1"/>
  <c r="D38" i="17"/>
  <c r="D39" i="17" s="1"/>
  <c r="C38" i="17"/>
  <c r="C39" i="17" s="1"/>
  <c r="F38" i="17"/>
  <c r="F39" i="17" s="1"/>
  <c r="E38" i="17"/>
  <c r="E39" i="17" s="1"/>
  <c r="G38" i="17"/>
  <c r="G39" i="17" s="1"/>
  <c r="D38" i="16"/>
  <c r="D39" i="16" s="1"/>
  <c r="C38" i="16"/>
  <c r="C39" i="16" s="1"/>
  <c r="F38" i="16"/>
  <c r="F39" i="16" s="1"/>
  <c r="E38" i="16"/>
  <c r="E39" i="16" s="1"/>
  <c r="G38" i="16"/>
  <c r="G39" i="16" s="1"/>
  <c r="F29" i="15"/>
  <c r="B19" i="15"/>
  <c r="C19" i="15"/>
  <c r="D38" i="15"/>
  <c r="D39" i="15" s="1"/>
  <c r="C38" i="15"/>
  <c r="C39" i="15" s="1"/>
  <c r="F38" i="15"/>
  <c r="F39" i="15" s="1"/>
  <c r="E38" i="15"/>
  <c r="E39" i="15" s="1"/>
  <c r="G39" i="15"/>
  <c r="G19" i="15"/>
  <c r="G20" i="15" s="1"/>
  <c r="G21" i="15" s="1"/>
  <c r="G22" i="15" s="1"/>
  <c r="G19" i="14"/>
  <c r="G20" i="14" s="1"/>
  <c r="G21" i="14" s="1"/>
  <c r="G22" i="14" s="1"/>
  <c r="B34" i="14"/>
  <c r="B34" i="13"/>
  <c r="G19" i="12"/>
  <c r="G20" i="12" s="1"/>
  <c r="G21" i="12" s="1"/>
  <c r="G22" i="12" s="1"/>
  <c r="B34" i="12"/>
  <c r="F29" i="11"/>
  <c r="B34" i="11"/>
  <c r="G19" i="11"/>
  <c r="G20" i="11" s="1"/>
  <c r="G21" i="11" s="1"/>
  <c r="G22" i="11" s="1"/>
  <c r="B19" i="11"/>
  <c r="C19" i="11"/>
  <c r="F46" i="10"/>
  <c r="G40" i="10"/>
  <c r="G41" i="10" s="1"/>
  <c r="F47" i="10"/>
  <c r="F52" i="10"/>
  <c r="F53" i="10" s="1"/>
  <c r="B52" i="10"/>
  <c r="D40" i="10"/>
  <c r="D41" i="10" s="1"/>
  <c r="D29" i="9"/>
  <c r="D30" i="9" s="1"/>
  <c r="D32" i="9" s="1"/>
  <c r="D34" i="9" s="1"/>
  <c r="D36" i="9" s="1"/>
  <c r="K19" i="9"/>
  <c r="J33" i="9"/>
  <c r="G26" i="9"/>
  <c r="G29" i="9" s="1"/>
  <c r="G30" i="9" s="1"/>
  <c r="G32" i="9" s="1"/>
  <c r="G34" i="9" s="1"/>
  <c r="G36" i="9" s="1"/>
  <c r="B49" i="9"/>
  <c r="K25" i="9" s="1"/>
  <c r="D29" i="8"/>
  <c r="D30" i="8" s="1"/>
  <c r="D32" i="8" s="1"/>
  <c r="D34" i="8" s="1"/>
  <c r="D36" i="8" s="1"/>
  <c r="K20" i="8"/>
  <c r="G26" i="8"/>
  <c r="G29" i="8" s="1"/>
  <c r="G30" i="8" s="1"/>
  <c r="G32" i="8" s="1"/>
  <c r="G34" i="8" s="1"/>
  <c r="J33" i="8"/>
  <c r="B49" i="8"/>
  <c r="K25" i="8" s="1"/>
  <c r="B50" i="8" s="1"/>
  <c r="B51" i="8" s="1"/>
  <c r="F51" i="8" s="1"/>
  <c r="N27" i="1"/>
  <c r="G39" i="1"/>
  <c r="E36" i="8" l="1"/>
  <c r="E40" i="8"/>
  <c r="E41" i="8" s="1"/>
  <c r="F36" i="8"/>
  <c r="F40" i="8"/>
  <c r="F41" i="8" s="1"/>
  <c r="E36" i="9"/>
  <c r="E40" i="9"/>
  <c r="E41" i="9" s="1"/>
  <c r="B50" i="9"/>
  <c r="B51" i="9" s="1"/>
  <c r="F36" i="9"/>
  <c r="F40" i="9"/>
  <c r="F41" i="9" s="1"/>
  <c r="B41" i="25"/>
  <c r="D41" i="25" s="1"/>
  <c r="B41" i="24"/>
  <c r="D41" i="24" s="1"/>
  <c r="B41" i="22"/>
  <c r="D41" i="22" s="1"/>
  <c r="E40" i="21"/>
  <c r="G40" i="21"/>
  <c r="C40" i="17"/>
  <c r="D40" i="17"/>
  <c r="F40" i="17"/>
  <c r="C40" i="16"/>
  <c r="D40" i="16"/>
  <c r="F40" i="16"/>
  <c r="C40" i="15"/>
  <c r="F40" i="15"/>
  <c r="D40" i="15"/>
  <c r="D38" i="14"/>
  <c r="D39" i="14" s="1"/>
  <c r="C38" i="14"/>
  <c r="C39" i="14" s="1"/>
  <c r="F38" i="14"/>
  <c r="F39" i="14" s="1"/>
  <c r="E38" i="14"/>
  <c r="E39" i="14" s="1"/>
  <c r="G38" i="14"/>
  <c r="G39" i="14" s="1"/>
  <c r="D38" i="13"/>
  <c r="D39" i="13" s="1"/>
  <c r="C38" i="13"/>
  <c r="C39" i="13" s="1"/>
  <c r="F38" i="13"/>
  <c r="F39" i="13" s="1"/>
  <c r="E38" i="13"/>
  <c r="E39" i="13" s="1"/>
  <c r="G38" i="13"/>
  <c r="G39" i="13" s="1"/>
  <c r="D38" i="12"/>
  <c r="D39" i="12" s="1"/>
  <c r="C38" i="12"/>
  <c r="C39" i="12" s="1"/>
  <c r="F38" i="12"/>
  <c r="F39" i="12" s="1"/>
  <c r="E38" i="12"/>
  <c r="E39" i="12" s="1"/>
  <c r="G38" i="12"/>
  <c r="G39" i="12" s="1"/>
  <c r="D38" i="11"/>
  <c r="D39" i="11" s="1"/>
  <c r="C38" i="11"/>
  <c r="C39" i="11" s="1"/>
  <c r="F38" i="11"/>
  <c r="F39" i="11" s="1"/>
  <c r="E38" i="11"/>
  <c r="E39" i="11" s="1"/>
  <c r="G38" i="11"/>
  <c r="G39" i="11" s="1"/>
  <c r="F48" i="10"/>
  <c r="F49" i="10" s="1"/>
  <c r="F55" i="10" s="1"/>
  <c r="F57" i="10" s="1"/>
  <c r="D40" i="9"/>
  <c r="D41" i="9" s="1"/>
  <c r="F52" i="9"/>
  <c r="F47" i="9"/>
  <c r="G40" i="9"/>
  <c r="G41" i="9" s="1"/>
  <c r="F46" i="8"/>
  <c r="G36" i="8"/>
  <c r="G40" i="8"/>
  <c r="G41" i="8" s="1"/>
  <c r="F47" i="8"/>
  <c r="F52" i="8"/>
  <c r="F53" i="8" s="1"/>
  <c r="B52" i="8"/>
  <c r="D40" i="8"/>
  <c r="D41" i="8" s="1"/>
  <c r="F24" i="7"/>
  <c r="B42" i="7"/>
  <c r="F35" i="7"/>
  <c r="B33" i="7"/>
  <c r="F32" i="7"/>
  <c r="F31" i="7"/>
  <c r="F33" i="7" s="1"/>
  <c r="C22" i="7"/>
  <c r="G16" i="7" s="1"/>
  <c r="B22" i="7"/>
  <c r="C17" i="7"/>
  <c r="B17" i="7"/>
  <c r="G15" i="7"/>
  <c r="F15" i="7"/>
  <c r="C15" i="7"/>
  <c r="C16" i="7" s="1"/>
  <c r="C18" i="7" s="1"/>
  <c r="F24" i="6"/>
  <c r="F7" i="6"/>
  <c r="B42" i="6"/>
  <c r="F35" i="6"/>
  <c r="B33" i="6"/>
  <c r="F32" i="6"/>
  <c r="F31" i="6"/>
  <c r="F33" i="6" s="1"/>
  <c r="C22" i="6"/>
  <c r="G16" i="6" s="1"/>
  <c r="B22" i="6"/>
  <c r="F16" i="6" s="1"/>
  <c r="F19" i="6" s="1"/>
  <c r="F20" i="6" s="1"/>
  <c r="C17" i="6"/>
  <c r="B17" i="6"/>
  <c r="G15" i="6"/>
  <c r="F15" i="6"/>
  <c r="B24" i="6"/>
  <c r="B25" i="6" s="1"/>
  <c r="B28" i="5"/>
  <c r="F51" i="9" l="1"/>
  <c r="F53" i="9" s="1"/>
  <c r="B52" i="9"/>
  <c r="F46" i="9"/>
  <c r="F48" i="9" s="1"/>
  <c r="F49" i="9" s="1"/>
  <c r="F55" i="9" s="1"/>
  <c r="F57" i="9" s="1"/>
  <c r="G17" i="7"/>
  <c r="G18" i="7" s="1"/>
  <c r="G40" i="17"/>
  <c r="G17" i="6"/>
  <c r="G18" i="6" s="1"/>
  <c r="B41" i="21"/>
  <c r="D41" i="21" s="1"/>
  <c r="E40" i="17"/>
  <c r="G40" i="16"/>
  <c r="E40" i="16"/>
  <c r="E40" i="15"/>
  <c r="G40" i="15"/>
  <c r="C40" i="14"/>
  <c r="F40" i="14"/>
  <c r="D40" i="14"/>
  <c r="C40" i="13"/>
  <c r="F40" i="13"/>
  <c r="D40" i="13"/>
  <c r="C40" i="12"/>
  <c r="F40" i="12"/>
  <c r="D40" i="12"/>
  <c r="C40" i="11"/>
  <c r="D40" i="11"/>
  <c r="F40" i="11"/>
  <c r="F48" i="8"/>
  <c r="F49" i="8" s="1"/>
  <c r="F55" i="8" s="1"/>
  <c r="F57" i="8" s="1"/>
  <c r="B15" i="7"/>
  <c r="B16" i="7" s="1"/>
  <c r="B18" i="7" s="1"/>
  <c r="B35" i="7"/>
  <c r="B36" i="7" s="1"/>
  <c r="F28" i="7"/>
  <c r="B24" i="7"/>
  <c r="B25" i="7" s="1"/>
  <c r="F10" i="7"/>
  <c r="G19" i="7"/>
  <c r="G20" i="7" s="1"/>
  <c r="G21" i="7" s="1"/>
  <c r="G22" i="7" s="1"/>
  <c r="B32" i="7"/>
  <c r="K10" i="7"/>
  <c r="F16" i="7"/>
  <c r="F17" i="7" s="1"/>
  <c r="F18" i="7" s="1"/>
  <c r="B15" i="6"/>
  <c r="B16" i="6" s="1"/>
  <c r="B18" i="6" s="1"/>
  <c r="K10" i="6"/>
  <c r="C15" i="6"/>
  <c r="C16" i="6" s="1"/>
  <c r="C18" i="6" s="1"/>
  <c r="F28" i="6"/>
  <c r="B35" i="6"/>
  <c r="B36" i="6" s="1"/>
  <c r="F10" i="6"/>
  <c r="F21" i="6"/>
  <c r="F22" i="6" s="1"/>
  <c r="F25" i="6"/>
  <c r="D25" i="6"/>
  <c r="B26" i="6"/>
  <c r="B29" i="6" s="1"/>
  <c r="F17" i="6"/>
  <c r="F18" i="6" s="1"/>
  <c r="G19" i="6"/>
  <c r="G20" i="6" s="1"/>
  <c r="G21" i="6" s="1"/>
  <c r="G22" i="6" s="1"/>
  <c r="B32" i="6"/>
  <c r="F29" i="6" l="1"/>
  <c r="B41" i="17"/>
  <c r="D41" i="17" s="1"/>
  <c r="G40" i="13"/>
  <c r="B41" i="16"/>
  <c r="D41" i="16" s="1"/>
  <c r="B19" i="6"/>
  <c r="C19" i="6"/>
  <c r="B41" i="15"/>
  <c r="D41" i="15" s="1"/>
  <c r="E40" i="14"/>
  <c r="G40" i="14"/>
  <c r="E40" i="13"/>
  <c r="G40" i="12"/>
  <c r="E40" i="12"/>
  <c r="G40" i="11"/>
  <c r="E40" i="11"/>
  <c r="B26" i="7"/>
  <c r="B29" i="7" s="1"/>
  <c r="F29" i="7" s="1"/>
  <c r="B19" i="7"/>
  <c r="C19" i="7"/>
  <c r="F19" i="7"/>
  <c r="F20" i="7" s="1"/>
  <c r="F21" i="7" s="1"/>
  <c r="F22" i="7" s="1"/>
  <c r="B34" i="7"/>
  <c r="F25" i="7"/>
  <c r="D25" i="7"/>
  <c r="B34" i="6"/>
  <c r="B41" i="13" l="1"/>
  <c r="D41" i="13" s="1"/>
  <c r="B41" i="11"/>
  <c r="D41" i="11" s="1"/>
  <c r="B41" i="14"/>
  <c r="D41" i="14" s="1"/>
  <c r="B41" i="12"/>
  <c r="D41" i="12" s="1"/>
  <c r="F38" i="7"/>
  <c r="F39" i="7" s="1"/>
  <c r="E38" i="7"/>
  <c r="E39" i="7" s="1"/>
  <c r="D38" i="7"/>
  <c r="D39" i="7" s="1"/>
  <c r="C38" i="7"/>
  <c r="C39" i="7" s="1"/>
  <c r="G38" i="7"/>
  <c r="G39" i="7" s="1"/>
  <c r="D38" i="6"/>
  <c r="D39" i="6" s="1"/>
  <c r="E38" i="6"/>
  <c r="E39" i="6" s="1"/>
  <c r="C38" i="6"/>
  <c r="C39" i="6" s="1"/>
  <c r="F38" i="6"/>
  <c r="F39" i="6" s="1"/>
  <c r="G38" i="6"/>
  <c r="G39" i="6" s="1"/>
  <c r="F40" i="7" l="1"/>
  <c r="C40" i="7"/>
  <c r="D40" i="7"/>
  <c r="C40" i="6"/>
  <c r="F40" i="6"/>
  <c r="D40" i="6"/>
  <c r="E40" i="7" l="1"/>
  <c r="G40" i="7"/>
  <c r="G40" i="6"/>
  <c r="E40" i="6"/>
  <c r="F5" i="5"/>
  <c r="F6" i="5"/>
  <c r="F9" i="5"/>
  <c r="F24" i="5" s="1"/>
  <c r="F8" i="5"/>
  <c r="F7" i="5"/>
  <c r="B42" i="5"/>
  <c r="B33" i="5"/>
  <c r="F32" i="5"/>
  <c r="F31" i="5"/>
  <c r="F33" i="5" s="1"/>
  <c r="C22" i="5"/>
  <c r="B22" i="5"/>
  <c r="F16" i="5" s="1"/>
  <c r="F19" i="5" s="1"/>
  <c r="F20" i="5" s="1"/>
  <c r="C17" i="5"/>
  <c r="B17" i="5"/>
  <c r="G15" i="5"/>
  <c r="F15" i="5"/>
  <c r="B24" i="5"/>
  <c r="B25" i="5" s="1"/>
  <c r="H27" i="4"/>
  <c r="F8" i="4"/>
  <c r="H3" i="4"/>
  <c r="H2" i="4"/>
  <c r="F24" i="4"/>
  <c r="B42" i="4"/>
  <c r="F35" i="4"/>
  <c r="B33" i="4"/>
  <c r="F32" i="4"/>
  <c r="F31" i="4"/>
  <c r="F33" i="4" s="1"/>
  <c r="C22" i="4"/>
  <c r="G16" i="4" s="1"/>
  <c r="C17" i="4"/>
  <c r="B17" i="4"/>
  <c r="G15" i="4"/>
  <c r="F15" i="4"/>
  <c r="F28" i="2"/>
  <c r="F24" i="2"/>
  <c r="C15" i="2"/>
  <c r="C16" i="2" s="1"/>
  <c r="B42" i="2"/>
  <c r="F35" i="2"/>
  <c r="B33" i="2"/>
  <c r="F32" i="2"/>
  <c r="F31" i="2"/>
  <c r="F33" i="2" s="1"/>
  <c r="C22" i="2"/>
  <c r="B22" i="2"/>
  <c r="C17" i="2"/>
  <c r="B17" i="2"/>
  <c r="G15" i="2"/>
  <c r="F15" i="2"/>
  <c r="B24" i="2"/>
  <c r="B25" i="2" s="1"/>
  <c r="K10" i="2"/>
  <c r="B15" i="2"/>
  <c r="B16" i="2" s="1"/>
  <c r="B18" i="2" s="1"/>
  <c r="C18" i="2" l="1"/>
  <c r="G17" i="4"/>
  <c r="G18" i="4" s="1"/>
  <c r="B41" i="7"/>
  <c r="D41" i="7" s="1"/>
  <c r="B41" i="6"/>
  <c r="D41" i="6" s="1"/>
  <c r="K10" i="5"/>
  <c r="F10" i="5"/>
  <c r="F28" i="5"/>
  <c r="B15" i="5"/>
  <c r="B16" i="5" s="1"/>
  <c r="B18" i="5" s="1"/>
  <c r="C15" i="5"/>
  <c r="C16" i="5" s="1"/>
  <c r="C18" i="5" s="1"/>
  <c r="C19" i="5" s="1"/>
  <c r="F21" i="5"/>
  <c r="F22" i="5" s="1"/>
  <c r="B35" i="5"/>
  <c r="B36" i="5" s="1"/>
  <c r="F25" i="5"/>
  <c r="D25" i="5"/>
  <c r="F17" i="5"/>
  <c r="F18" i="5" s="1"/>
  <c r="G16" i="5"/>
  <c r="G17" i="5" s="1"/>
  <c r="G18" i="5" s="1"/>
  <c r="B32" i="5"/>
  <c r="B26" i="5"/>
  <c r="B29" i="5" s="1"/>
  <c r="B35" i="4"/>
  <c r="B36" i="4" s="1"/>
  <c r="B15" i="4"/>
  <c r="B16" i="4" s="1"/>
  <c r="B18" i="4" s="1"/>
  <c r="C15" i="4"/>
  <c r="C16" i="4" s="1"/>
  <c r="C18" i="4" s="1"/>
  <c r="G19" i="4"/>
  <c r="G20" i="4" s="1"/>
  <c r="G21" i="4" s="1"/>
  <c r="G22" i="4" s="1"/>
  <c r="F28" i="4"/>
  <c r="B24" i="4"/>
  <c r="B25" i="4" s="1"/>
  <c r="F10" i="4"/>
  <c r="B32" i="4"/>
  <c r="K10" i="4"/>
  <c r="H22" i="4" s="1"/>
  <c r="F16" i="4"/>
  <c r="F17" i="4" s="1"/>
  <c r="F18" i="4" s="1"/>
  <c r="B35" i="2"/>
  <c r="B36" i="2" s="1"/>
  <c r="F10" i="2"/>
  <c r="C19" i="2"/>
  <c r="F25" i="2"/>
  <c r="D25" i="2"/>
  <c r="B26" i="2"/>
  <c r="B29" i="2" s="1"/>
  <c r="F29" i="2" s="1"/>
  <c r="F16" i="2"/>
  <c r="F17" i="2" s="1"/>
  <c r="F18" i="2" s="1"/>
  <c r="G16" i="2"/>
  <c r="G17" i="2" s="1"/>
  <c r="G18" i="2" s="1"/>
  <c r="B32" i="2"/>
  <c r="B19" i="2"/>
  <c r="F29" i="5" l="1"/>
  <c r="B19" i="5"/>
  <c r="B34" i="5"/>
  <c r="G19" i="5"/>
  <c r="G20" i="5" s="1"/>
  <c r="G21" i="5" s="1"/>
  <c r="G22" i="5" s="1"/>
  <c r="B26" i="4"/>
  <c r="B29" i="4" s="1"/>
  <c r="F29" i="4" s="1"/>
  <c r="C19" i="4"/>
  <c r="B19" i="4"/>
  <c r="F19" i="4"/>
  <c r="F20" i="4" s="1"/>
  <c r="F21" i="4" s="1"/>
  <c r="F22" i="4" s="1"/>
  <c r="B34" i="4"/>
  <c r="F25" i="4"/>
  <c r="D25" i="4"/>
  <c r="F19" i="2"/>
  <c r="F20" i="2" s="1"/>
  <c r="F21" i="2" s="1"/>
  <c r="F22" i="2" s="1"/>
  <c r="B34" i="2"/>
  <c r="G19" i="2"/>
  <c r="G20" i="2" s="1"/>
  <c r="G21" i="2" s="1"/>
  <c r="G22" i="2" s="1"/>
  <c r="D38" i="5" l="1"/>
  <c r="D39" i="5" s="1"/>
  <c r="C38" i="5"/>
  <c r="C39" i="5" s="1"/>
  <c r="F38" i="5"/>
  <c r="F39" i="5" s="1"/>
  <c r="E38" i="5"/>
  <c r="E39" i="5" s="1"/>
  <c r="G38" i="5"/>
  <c r="G39" i="5" s="1"/>
  <c r="F38" i="4"/>
  <c r="F39" i="4" s="1"/>
  <c r="E38" i="4"/>
  <c r="E39" i="4" s="1"/>
  <c r="D38" i="4"/>
  <c r="D39" i="4" s="1"/>
  <c r="C38" i="4"/>
  <c r="C39" i="4" s="1"/>
  <c r="G38" i="4"/>
  <c r="G39" i="4" s="1"/>
  <c r="E38" i="2"/>
  <c r="E39" i="2" s="1"/>
  <c r="D38" i="2"/>
  <c r="D39" i="2" s="1"/>
  <c r="C38" i="2"/>
  <c r="C39" i="2" s="1"/>
  <c r="F38" i="2"/>
  <c r="F39" i="2" s="1"/>
  <c r="G38" i="2"/>
  <c r="G39" i="2" s="1"/>
  <c r="C40" i="5" l="1"/>
  <c r="F40" i="5"/>
  <c r="D40" i="5"/>
  <c r="C40" i="4"/>
  <c r="F40" i="4"/>
  <c r="D40" i="4"/>
  <c r="C40" i="2"/>
  <c r="D40" i="2"/>
  <c r="F40" i="2"/>
  <c r="E40" i="5" l="1"/>
  <c r="G40" i="5"/>
  <c r="E40" i="4"/>
  <c r="G40" i="4"/>
  <c r="G40" i="2"/>
  <c r="E40" i="2"/>
  <c r="B41" i="5" l="1"/>
  <c r="D41" i="5" s="1"/>
  <c r="B41" i="4"/>
  <c r="D41" i="4" s="1"/>
  <c r="B41" i="2"/>
  <c r="D41" i="2" s="1"/>
  <c r="F63" i="1"/>
  <c r="F62" i="1"/>
  <c r="F61" i="1"/>
  <c r="F60" i="1"/>
  <c r="E60" i="1"/>
  <c r="E61" i="1" s="1"/>
  <c r="E62" i="1" s="1"/>
  <c r="E63" i="1" s="1"/>
  <c r="B47" i="1"/>
  <c r="B46" i="1"/>
  <c r="B45" i="1"/>
  <c r="B44" i="1"/>
  <c r="B49" i="1" s="1"/>
  <c r="I37" i="1"/>
  <c r="G37" i="1"/>
  <c r="F37" i="1"/>
  <c r="E37" i="1"/>
  <c r="D37" i="1"/>
  <c r="I36" i="1"/>
  <c r="F39" i="1"/>
  <c r="E39" i="1"/>
  <c r="D39" i="1"/>
  <c r="I33" i="1"/>
  <c r="G33" i="1"/>
  <c r="F33" i="1"/>
  <c r="E33" i="1"/>
  <c r="D33" i="1"/>
  <c r="I32" i="1"/>
  <c r="G31" i="1"/>
  <c r="F31" i="1"/>
  <c r="E31" i="1"/>
  <c r="D31" i="1"/>
  <c r="I29" i="1"/>
  <c r="I28" i="1"/>
  <c r="K22" i="1"/>
  <c r="J31" i="1"/>
  <c r="K14" i="1"/>
  <c r="F6" i="1" s="1"/>
  <c r="K12" i="1"/>
  <c r="E26" i="1" s="1"/>
  <c r="D11" i="1"/>
  <c r="K11" i="1"/>
  <c r="K10" i="1"/>
  <c r="K9" i="1"/>
  <c r="K15" i="1" s="1"/>
  <c r="K3" i="1"/>
  <c r="J2" i="1" s="1"/>
  <c r="F26" i="1" l="1"/>
  <c r="G26" i="1"/>
  <c r="B48" i="1"/>
  <c r="J35" i="1"/>
  <c r="J36" i="1" s="1"/>
  <c r="K25" i="1"/>
  <c r="B50" i="1" s="1"/>
  <c r="B51" i="1" s="1"/>
  <c r="J33" i="1"/>
  <c r="J32" i="1"/>
  <c r="K16" i="1"/>
  <c r="D26" i="1"/>
  <c r="J27" i="1"/>
  <c r="K19" i="1" l="1"/>
  <c r="E27" i="1" s="1"/>
  <c r="E28" i="1" s="1"/>
  <c r="E29" i="1" s="1"/>
  <c r="E30" i="1" s="1"/>
  <c r="E32" i="1" s="1"/>
  <c r="E34" i="1" s="1"/>
  <c r="E40" i="1" s="1"/>
  <c r="E41" i="1" s="1"/>
  <c r="J37" i="1"/>
  <c r="F52" i="1" s="1"/>
  <c r="F51" i="1"/>
  <c r="K20" i="1"/>
  <c r="G27" i="1" s="1"/>
  <c r="G28" i="1" s="1"/>
  <c r="G29" i="1" s="1"/>
  <c r="G30" i="1" s="1"/>
  <c r="G32" i="1" s="1"/>
  <c r="G34" i="1" s="1"/>
  <c r="F47" i="1"/>
  <c r="J29" i="1"/>
  <c r="K18" i="1" s="1"/>
  <c r="F27" i="1" s="1"/>
  <c r="F28" i="1" s="1"/>
  <c r="F29" i="1" s="1"/>
  <c r="F30" i="1" s="1"/>
  <c r="F32" i="1" s="1"/>
  <c r="F34" i="1" s="1"/>
  <c r="J28" i="1"/>
  <c r="K17" i="1" s="1"/>
  <c r="D27" i="1" s="1"/>
  <c r="D28" i="1" s="1"/>
  <c r="D29" i="1" s="1"/>
  <c r="D30" i="1" s="1"/>
  <c r="D32" i="1" s="1"/>
  <c r="D34" i="1" s="1"/>
  <c r="K23" i="1"/>
  <c r="K24" i="1"/>
  <c r="E36" i="1" l="1"/>
  <c r="F53" i="1"/>
  <c r="F36" i="1"/>
  <c r="F40" i="1"/>
  <c r="F41" i="1" s="1"/>
  <c r="F46" i="1"/>
  <c r="F48" i="1" s="1"/>
  <c r="F49" i="1" s="1"/>
  <c r="B52" i="1"/>
  <c r="G36" i="1"/>
  <c r="G40" i="1"/>
  <c r="G41" i="1" s="1"/>
  <c r="D36" i="1"/>
  <c r="D40" i="1"/>
  <c r="D41" i="1" s="1"/>
  <c r="F55" i="1" l="1"/>
  <c r="F57" i="1" s="1"/>
</calcChain>
</file>

<file path=xl/sharedStrings.xml><?xml version="1.0" encoding="utf-8"?>
<sst xmlns="http://schemas.openxmlformats.org/spreadsheetml/2006/main" count="10691" uniqueCount="250">
  <si>
    <t>Hmin</t>
  </si>
  <si>
    <t>Material</t>
  </si>
  <si>
    <t>Slab Properties</t>
  </si>
  <si>
    <t>ly/lx=</t>
  </si>
  <si>
    <t>fy=</t>
  </si>
  <si>
    <t>Mpa</t>
  </si>
  <si>
    <t>lx=</t>
  </si>
  <si>
    <t>m</t>
  </si>
  <si>
    <t>Section Beam Properties</t>
  </si>
  <si>
    <t>Es=</t>
  </si>
  <si>
    <t>ly=</t>
  </si>
  <si>
    <t>Beam x</t>
  </si>
  <si>
    <t>bwx=</t>
  </si>
  <si>
    <t>f'c=</t>
  </si>
  <si>
    <t>Min thk=</t>
  </si>
  <si>
    <t>htx=</t>
  </si>
  <si>
    <r>
      <t>ρ</t>
    </r>
    <r>
      <rPr>
        <vertAlign val="subscript"/>
        <sz val="11"/>
        <color theme="1"/>
        <rFont val="Calibri Light"/>
        <family val="1"/>
        <scheme val="major"/>
      </rPr>
      <t>c</t>
    </r>
    <r>
      <rPr>
        <sz val="11"/>
        <color theme="1"/>
        <rFont val="Calibri Light"/>
        <family val="1"/>
        <scheme val="major"/>
      </rPr>
      <t xml:space="preserve">= </t>
    </r>
  </si>
  <si>
    <r>
      <t>kN/m</t>
    </r>
    <r>
      <rPr>
        <vertAlign val="superscript"/>
        <sz val="11"/>
        <color theme="1"/>
        <rFont val="Calibri Light"/>
        <family val="1"/>
        <scheme val="major"/>
      </rPr>
      <t>3</t>
    </r>
  </si>
  <si>
    <t>Slab thk=</t>
  </si>
  <si>
    <t>Beam Y</t>
  </si>
  <si>
    <t>bwy(m)=</t>
  </si>
  <si>
    <t>Strip=</t>
  </si>
  <si>
    <t>hty(m)=</t>
  </si>
  <si>
    <t>Moment Total</t>
  </si>
  <si>
    <t>Cover=</t>
  </si>
  <si>
    <t>lx(m)=</t>
  </si>
  <si>
    <t>Loading</t>
  </si>
  <si>
    <t>Total</t>
  </si>
  <si>
    <t>Factor</t>
  </si>
  <si>
    <t>ly(m)=</t>
  </si>
  <si>
    <t>DL=</t>
  </si>
  <si>
    <r>
      <t>kN/m</t>
    </r>
    <r>
      <rPr>
        <vertAlign val="superscript"/>
        <sz val="11"/>
        <color theme="1"/>
        <rFont val="Calibri Light"/>
        <family val="1"/>
        <scheme val="major"/>
      </rPr>
      <t>2</t>
    </r>
  </si>
  <si>
    <t>h(m)=</t>
  </si>
  <si>
    <t>Cb(m)=</t>
  </si>
  <si>
    <t>LL=</t>
  </si>
  <si>
    <t>Dia.(mm)</t>
  </si>
  <si>
    <t>mm</t>
  </si>
  <si>
    <t>wu=</t>
  </si>
  <si>
    <t>Perimetter=</t>
  </si>
  <si>
    <t>As.min</t>
  </si>
  <si>
    <t>gap of t(mm)=</t>
  </si>
  <si>
    <t>Mxneg(kN.m)</t>
  </si>
  <si>
    <t>Myneg(kN.m)</t>
  </si>
  <si>
    <t>Result</t>
  </si>
  <si>
    <t>Mxpos(kN.m)=</t>
  </si>
  <si>
    <t>Aspect ratio m=</t>
  </si>
  <si>
    <t>Mypos(kN.m)=</t>
  </si>
  <si>
    <t>Case</t>
  </si>
  <si>
    <t>Load distribution</t>
  </si>
  <si>
    <r>
      <t>C</t>
    </r>
    <r>
      <rPr>
        <vertAlign val="subscript"/>
        <sz val="11"/>
        <color theme="1"/>
        <rFont val="Calibri Light"/>
        <family val="1"/>
        <scheme val="major"/>
      </rPr>
      <t>aneg</t>
    </r>
    <r>
      <rPr>
        <sz val="11"/>
        <color theme="1"/>
        <rFont val="Calibri Light"/>
        <family val="1"/>
        <scheme val="major"/>
      </rPr>
      <t>=</t>
    </r>
  </si>
  <si>
    <r>
      <t>C</t>
    </r>
    <r>
      <rPr>
        <vertAlign val="subscript"/>
        <sz val="11"/>
        <color theme="1"/>
        <rFont val="Calibri Light"/>
        <family val="1"/>
        <scheme val="major"/>
      </rPr>
      <t>aposDL</t>
    </r>
    <r>
      <rPr>
        <sz val="11"/>
        <color theme="1"/>
        <rFont val="Calibri Light"/>
        <family val="1"/>
        <scheme val="major"/>
      </rPr>
      <t>=</t>
    </r>
  </si>
  <si>
    <r>
      <t>C</t>
    </r>
    <r>
      <rPr>
        <vertAlign val="subscript"/>
        <sz val="11"/>
        <color theme="1"/>
        <rFont val="Calibri Light"/>
        <family val="1"/>
        <scheme val="major"/>
      </rPr>
      <t>aposLL</t>
    </r>
    <r>
      <rPr>
        <sz val="11"/>
        <color theme="1"/>
        <rFont val="Calibri Light"/>
        <family val="1"/>
        <scheme val="major"/>
      </rPr>
      <t>=</t>
    </r>
  </si>
  <si>
    <t>λ=</t>
  </si>
  <si>
    <r>
      <t>C</t>
    </r>
    <r>
      <rPr>
        <vertAlign val="subscript"/>
        <sz val="11"/>
        <color theme="1"/>
        <rFont val="Calibri Light"/>
        <family val="1"/>
        <scheme val="major"/>
      </rPr>
      <t>bneg</t>
    </r>
    <r>
      <rPr>
        <sz val="11"/>
        <color theme="1"/>
        <rFont val="Calibri Light"/>
        <family val="1"/>
        <scheme val="major"/>
      </rPr>
      <t>=</t>
    </r>
  </si>
  <si>
    <r>
      <t>C</t>
    </r>
    <r>
      <rPr>
        <vertAlign val="subscript"/>
        <sz val="11"/>
        <color theme="1"/>
        <rFont val="Calibri Light"/>
        <family val="1"/>
        <scheme val="major"/>
      </rPr>
      <t>bposDL</t>
    </r>
    <r>
      <rPr>
        <sz val="11"/>
        <color theme="1"/>
        <rFont val="Calibri Light"/>
        <family val="1"/>
        <scheme val="major"/>
      </rPr>
      <t>=</t>
    </r>
  </si>
  <si>
    <r>
      <t>C</t>
    </r>
    <r>
      <rPr>
        <vertAlign val="subscript"/>
        <sz val="11"/>
        <color theme="1"/>
        <rFont val="Calibri Light"/>
        <family val="1"/>
        <scheme val="major"/>
      </rPr>
      <t>bposLL</t>
    </r>
    <r>
      <rPr>
        <sz val="11"/>
        <color theme="1"/>
        <rFont val="Calibri Light"/>
        <family val="1"/>
        <scheme val="major"/>
      </rPr>
      <t>=</t>
    </r>
  </si>
  <si>
    <t>wx=</t>
  </si>
  <si>
    <t>Bending moment(kN.m)</t>
  </si>
  <si>
    <r>
      <t>M</t>
    </r>
    <r>
      <rPr>
        <vertAlign val="subscript"/>
        <sz val="11"/>
        <color theme="1"/>
        <rFont val="Calibri Light"/>
        <family val="1"/>
        <scheme val="major"/>
      </rPr>
      <t>aneg</t>
    </r>
  </si>
  <si>
    <r>
      <t>M</t>
    </r>
    <r>
      <rPr>
        <vertAlign val="subscript"/>
        <sz val="11"/>
        <color theme="1"/>
        <rFont val="Calibri Light"/>
        <family val="1"/>
        <scheme val="major"/>
      </rPr>
      <t>apos</t>
    </r>
  </si>
  <si>
    <r>
      <t>M</t>
    </r>
    <r>
      <rPr>
        <vertAlign val="subscript"/>
        <sz val="11"/>
        <color theme="1"/>
        <rFont val="Calibri Light"/>
        <family val="1"/>
        <scheme val="major"/>
      </rPr>
      <t>bneg</t>
    </r>
  </si>
  <si>
    <r>
      <t>M</t>
    </r>
    <r>
      <rPr>
        <vertAlign val="subscript"/>
        <sz val="11"/>
        <color theme="1"/>
        <rFont val="Calibri Light"/>
        <family val="1"/>
        <scheme val="major"/>
      </rPr>
      <t>bpos</t>
    </r>
  </si>
  <si>
    <t>wy=</t>
  </si>
  <si>
    <t>d(m)=</t>
  </si>
  <si>
    <t>Mu(kN.m)=</t>
  </si>
  <si>
    <t>Mn(kN.m)=</t>
  </si>
  <si>
    <t>R=Mn/bd2</t>
  </si>
  <si>
    <t>ρ=</t>
  </si>
  <si>
    <t>β1=</t>
  </si>
  <si>
    <r>
      <t>As(cm</t>
    </r>
    <r>
      <rPr>
        <vertAlign val="superscript"/>
        <sz val="11"/>
        <color theme="1"/>
        <rFont val="Calibri Light"/>
        <family val="1"/>
        <scheme val="major"/>
      </rPr>
      <t>2</t>
    </r>
    <r>
      <rPr>
        <sz val="11"/>
        <color theme="1"/>
        <rFont val="Calibri Light"/>
        <family val="1"/>
        <scheme val="major"/>
      </rPr>
      <t>)=</t>
    </r>
  </si>
  <si>
    <r>
      <t>Asmin(cm</t>
    </r>
    <r>
      <rPr>
        <vertAlign val="superscript"/>
        <sz val="11"/>
        <color theme="1"/>
        <rFont val="Calibri Light"/>
        <family val="1"/>
        <scheme val="major"/>
      </rPr>
      <t>2</t>
    </r>
    <r>
      <rPr>
        <sz val="11"/>
        <color theme="1"/>
        <rFont val="Calibri Light"/>
        <family val="1"/>
        <scheme val="major"/>
      </rPr>
      <t>)=</t>
    </r>
  </si>
  <si>
    <r>
      <t>As.req(cm</t>
    </r>
    <r>
      <rPr>
        <vertAlign val="superscript"/>
        <sz val="11"/>
        <color theme="1"/>
        <rFont val="Calibri Light"/>
        <family val="1"/>
        <scheme val="major"/>
      </rPr>
      <t>2</t>
    </r>
    <r>
      <rPr>
        <sz val="11"/>
        <color theme="1"/>
        <rFont val="Calibri Light"/>
        <family val="1"/>
        <scheme val="major"/>
      </rPr>
      <t>)=</t>
    </r>
  </si>
  <si>
    <t>S(mm)=</t>
  </si>
  <si>
    <t>Smax(mm)=</t>
  </si>
  <si>
    <t>Actual spacing(mm)=</t>
  </si>
  <si>
    <r>
      <t>Provide steel reinf.(cm</t>
    </r>
    <r>
      <rPr>
        <b/>
        <vertAlign val="superscript"/>
        <sz val="11"/>
        <color theme="1"/>
        <rFont val="Calibri Light"/>
        <family val="1"/>
        <scheme val="major"/>
      </rPr>
      <t>2</t>
    </r>
    <r>
      <rPr>
        <b/>
        <sz val="11"/>
        <color theme="1"/>
        <rFont val="Calibri Light"/>
        <family val="1"/>
        <scheme val="major"/>
      </rPr>
      <t>)</t>
    </r>
  </si>
  <si>
    <t>SF=</t>
  </si>
  <si>
    <t xml:space="preserve"> Control Deflection</t>
  </si>
  <si>
    <t>Ec=</t>
  </si>
  <si>
    <r>
      <t>x</t>
    </r>
    <r>
      <rPr>
        <sz val="8"/>
        <color theme="1"/>
        <rFont val="Calibri Light"/>
        <family val="1"/>
        <scheme val="major"/>
      </rPr>
      <t xml:space="preserve">inf. </t>
    </r>
    <r>
      <rPr>
        <sz val="11"/>
        <color theme="1"/>
        <rFont val="Calibri Light"/>
        <family val="1"/>
        <scheme val="major"/>
      </rPr>
      <t>=</t>
    </r>
  </si>
  <si>
    <t>Ig=</t>
  </si>
  <si>
    <r>
      <t>m</t>
    </r>
    <r>
      <rPr>
        <vertAlign val="superscript"/>
        <sz val="11"/>
        <color theme="1"/>
        <rFont val="Calibri Light"/>
        <family val="1"/>
        <scheme val="major"/>
      </rPr>
      <t>4</t>
    </r>
  </si>
  <si>
    <t>Intermidiate deflection due to DL</t>
  </si>
  <si>
    <t>fr=</t>
  </si>
  <si>
    <t>ΔaDL=</t>
  </si>
  <si>
    <t>yt=</t>
  </si>
  <si>
    <t>ΔbDL=</t>
  </si>
  <si>
    <t>Mcr=</t>
  </si>
  <si>
    <t>kNm</t>
  </si>
  <si>
    <t>ΔDL=</t>
  </si>
  <si>
    <t>n=</t>
  </si>
  <si>
    <t>ΔλDL=</t>
  </si>
  <si>
    <t>x</t>
  </si>
  <si>
    <t>Intermidiate deflection due to LL</t>
  </si>
  <si>
    <t>Icr=</t>
  </si>
  <si>
    <t>ΔaLL=</t>
  </si>
  <si>
    <t>Ie=</t>
  </si>
  <si>
    <t>ΔbLL=</t>
  </si>
  <si>
    <r>
      <t>M</t>
    </r>
    <r>
      <rPr>
        <vertAlign val="subscript"/>
        <sz val="11"/>
        <color theme="1"/>
        <rFont val="Calibri Light"/>
        <family val="1"/>
        <scheme val="major"/>
      </rPr>
      <t>aDL</t>
    </r>
    <r>
      <rPr>
        <sz val="11"/>
        <color theme="1"/>
        <rFont val="Calibri Light"/>
        <family val="1"/>
        <scheme val="major"/>
      </rPr>
      <t>=</t>
    </r>
  </si>
  <si>
    <t>ΔLL=</t>
  </si>
  <si>
    <r>
      <t>M</t>
    </r>
    <r>
      <rPr>
        <vertAlign val="subscript"/>
        <sz val="11"/>
        <color theme="1"/>
        <rFont val="Calibri Light"/>
        <family val="1"/>
        <scheme val="major"/>
      </rPr>
      <t>bDL</t>
    </r>
    <r>
      <rPr>
        <sz val="11"/>
        <color theme="1"/>
        <rFont val="Calibri Light"/>
        <family val="1"/>
        <scheme val="major"/>
      </rPr>
      <t>=</t>
    </r>
  </si>
  <si>
    <t>Total deflection</t>
  </si>
  <si>
    <r>
      <t>M</t>
    </r>
    <r>
      <rPr>
        <vertAlign val="subscript"/>
        <sz val="11"/>
        <color theme="1"/>
        <rFont val="Calibri Light"/>
        <family val="1"/>
        <scheme val="major"/>
      </rPr>
      <t>aLL</t>
    </r>
    <r>
      <rPr>
        <sz val="11"/>
        <color theme="1"/>
        <rFont val="Calibri Light"/>
        <family val="1"/>
        <scheme val="major"/>
      </rPr>
      <t>=</t>
    </r>
  </si>
  <si>
    <t>Δtotal=</t>
  </si>
  <si>
    <r>
      <t>M</t>
    </r>
    <r>
      <rPr>
        <vertAlign val="subscript"/>
        <sz val="11"/>
        <color theme="1"/>
        <rFont val="Calibri Light"/>
        <family val="1"/>
        <scheme val="major"/>
      </rPr>
      <t>bLL</t>
    </r>
    <r>
      <rPr>
        <sz val="11"/>
        <color theme="1"/>
        <rFont val="Calibri Light"/>
        <family val="1"/>
        <scheme val="major"/>
      </rPr>
      <t>=</t>
    </r>
  </si>
  <si>
    <t>Δallow=</t>
  </si>
  <si>
    <t xml:space="preserve">Reinforcement </t>
  </si>
  <si>
    <t>Spacing(mm)</t>
  </si>
  <si>
    <t>Column strip</t>
  </si>
  <si>
    <t>Direction X</t>
  </si>
  <si>
    <t>Direction Y</t>
  </si>
  <si>
    <t>Middle strip</t>
  </si>
  <si>
    <t>DPC</t>
  </si>
  <si>
    <t>Design 
code</t>
  </si>
  <si>
    <t>ACI</t>
  </si>
  <si>
    <t>Project</t>
  </si>
  <si>
    <t>HKL</t>
  </si>
  <si>
    <t>318-11</t>
  </si>
  <si>
    <t>B-101</t>
  </si>
  <si>
    <t>Deta input</t>
  </si>
  <si>
    <t>Analyse Forces</t>
  </si>
  <si>
    <t>f'c =</t>
  </si>
  <si>
    <r>
      <t>M</t>
    </r>
    <r>
      <rPr>
        <vertAlign val="subscript"/>
        <sz val="10"/>
        <color theme="1"/>
        <rFont val="Arial Narrow"/>
        <family val="2"/>
      </rPr>
      <t>u</t>
    </r>
    <r>
      <rPr>
        <vertAlign val="superscript"/>
        <sz val="10"/>
        <color theme="1"/>
        <rFont val="Arial Narrow"/>
        <family val="2"/>
      </rPr>
      <t>(-)</t>
    </r>
    <r>
      <rPr>
        <sz val="10"/>
        <color theme="1"/>
        <rFont val="Arial Narrow"/>
        <family val="2"/>
      </rPr>
      <t xml:space="preserve"> =</t>
    </r>
  </si>
  <si>
    <t>N.mm</t>
  </si>
  <si>
    <t xml:space="preserve">Factor </t>
  </si>
  <si>
    <t>fy1 =</t>
  </si>
  <si>
    <r>
      <t>M</t>
    </r>
    <r>
      <rPr>
        <vertAlign val="subscript"/>
        <sz val="10"/>
        <color theme="1"/>
        <rFont val="Arial Narrow"/>
        <family val="2"/>
      </rPr>
      <t>u</t>
    </r>
    <r>
      <rPr>
        <vertAlign val="superscript"/>
        <sz val="10"/>
        <color theme="1"/>
        <rFont val="Arial Narrow"/>
        <family val="2"/>
      </rPr>
      <t xml:space="preserve">(+) </t>
    </r>
    <r>
      <rPr>
        <sz val="10"/>
        <color theme="1"/>
        <rFont val="Arial Narrow"/>
        <family val="2"/>
      </rPr>
      <t>=</t>
    </r>
  </si>
  <si>
    <t>Multiplier for
 LT deflection</t>
  </si>
  <si>
    <t>xinf. =</t>
  </si>
  <si>
    <t>fy2 =</t>
  </si>
  <si>
    <t>MD =</t>
  </si>
  <si>
    <t>b =</t>
  </si>
  <si>
    <t>ML=</t>
  </si>
  <si>
    <t>x3yrs  =</t>
  </si>
  <si>
    <t>h =</t>
  </si>
  <si>
    <t>Vu =</t>
  </si>
  <si>
    <t>N</t>
  </si>
  <si>
    <t>∅b =</t>
  </si>
  <si>
    <t>L =</t>
  </si>
  <si>
    <t>MD+L=</t>
  </si>
  <si>
    <r>
      <t>A</t>
    </r>
    <r>
      <rPr>
        <vertAlign val="subscript"/>
        <sz val="10"/>
        <color theme="1"/>
        <rFont val="Arial Narrow"/>
        <family val="2"/>
      </rPr>
      <t>g</t>
    </r>
    <r>
      <rPr>
        <sz val="10"/>
        <color theme="1"/>
        <rFont val="Arial Narrow"/>
        <family val="2"/>
      </rPr>
      <t>(mm</t>
    </r>
    <r>
      <rPr>
        <vertAlign val="superscript"/>
        <sz val="10"/>
        <color theme="1"/>
        <rFont val="Arial Narrow"/>
        <family val="2"/>
      </rPr>
      <t>2</t>
    </r>
    <r>
      <rPr>
        <sz val="10"/>
        <color theme="1"/>
        <rFont val="Arial Narrow"/>
        <family val="2"/>
      </rPr>
      <t>)=</t>
    </r>
  </si>
  <si>
    <t>c.c =</t>
  </si>
  <si>
    <t>ρ'  =</t>
  </si>
  <si>
    <t>d=</t>
  </si>
  <si>
    <t>∅v =</t>
  </si>
  <si>
    <t>Verification</t>
  </si>
  <si>
    <r>
      <t>M</t>
    </r>
    <r>
      <rPr>
        <vertAlign val="subscript"/>
        <sz val="10"/>
        <color theme="1"/>
        <rFont val="Arial Narrow"/>
        <family val="2"/>
      </rPr>
      <t>u</t>
    </r>
    <r>
      <rPr>
        <vertAlign val="superscript"/>
        <sz val="10"/>
        <color theme="1"/>
        <rFont val="Arial Narrow"/>
        <family val="2"/>
      </rPr>
      <t>(-)</t>
    </r>
    <r>
      <rPr>
        <sz val="10"/>
        <color theme="1"/>
        <rFont val="Arial Narrow"/>
        <family val="2"/>
      </rPr>
      <t xml:space="preserve"> </t>
    </r>
  </si>
  <si>
    <r>
      <t>M</t>
    </r>
    <r>
      <rPr>
        <vertAlign val="subscript"/>
        <sz val="10"/>
        <color theme="1"/>
        <rFont val="Arial Narrow"/>
        <family val="2"/>
      </rPr>
      <t>u</t>
    </r>
    <r>
      <rPr>
        <vertAlign val="superscript"/>
        <sz val="10"/>
        <color theme="1"/>
        <rFont val="Arial Narrow"/>
        <family val="2"/>
      </rPr>
      <t xml:space="preserve">(+) </t>
    </r>
  </si>
  <si>
    <r>
      <t>R</t>
    </r>
    <r>
      <rPr>
        <vertAlign val="subscript"/>
        <sz val="10"/>
        <color theme="1"/>
        <rFont val="Arial Narrow"/>
        <family val="2"/>
      </rPr>
      <t>n</t>
    </r>
    <r>
      <rPr>
        <sz val="10"/>
        <color theme="1"/>
        <rFont val="Arial Narrow"/>
        <family val="2"/>
      </rPr>
      <t>=</t>
    </r>
  </si>
  <si>
    <r>
      <t>β</t>
    </r>
    <r>
      <rPr>
        <vertAlign val="subscript"/>
        <sz val="10"/>
        <color theme="1"/>
        <rFont val="Arial Narrow"/>
        <family val="2"/>
      </rPr>
      <t>1</t>
    </r>
    <r>
      <rPr>
        <sz val="10"/>
        <color theme="1"/>
        <rFont val="Arial Narrow"/>
        <family val="2"/>
      </rPr>
      <t>=</t>
    </r>
  </si>
  <si>
    <t>ρ  =</t>
  </si>
  <si>
    <t>a(mm)=</t>
  </si>
  <si>
    <r>
      <t>ρ</t>
    </r>
    <r>
      <rPr>
        <vertAlign val="subscript"/>
        <sz val="10"/>
        <color theme="1"/>
        <rFont val="Arial Narrow"/>
        <family val="2"/>
      </rPr>
      <t>min</t>
    </r>
    <r>
      <rPr>
        <sz val="10"/>
        <color theme="1"/>
        <rFont val="Arial Narrow"/>
        <family val="2"/>
      </rPr>
      <t xml:space="preserve">  =</t>
    </r>
  </si>
  <si>
    <t>c(cm)</t>
  </si>
  <si>
    <r>
      <t>ρ</t>
    </r>
    <r>
      <rPr>
        <vertAlign val="subscript"/>
        <sz val="10"/>
        <color theme="1"/>
        <rFont val="Arial Narrow"/>
        <family val="2"/>
      </rPr>
      <t>used</t>
    </r>
    <r>
      <rPr>
        <sz val="10"/>
        <color theme="1"/>
        <rFont val="Arial Narrow"/>
        <family val="2"/>
      </rPr>
      <t xml:space="preserve">  =</t>
    </r>
  </si>
  <si>
    <r>
      <t>ε</t>
    </r>
    <r>
      <rPr>
        <vertAlign val="subscript"/>
        <sz val="10"/>
        <color theme="1"/>
        <rFont val="Arial Narrow"/>
        <family val="2"/>
      </rPr>
      <t>t</t>
    </r>
    <r>
      <rPr>
        <sz val="10"/>
        <color theme="1"/>
        <rFont val="Arial Narrow"/>
        <family val="2"/>
      </rPr>
      <t>=</t>
    </r>
  </si>
  <si>
    <r>
      <t>A</t>
    </r>
    <r>
      <rPr>
        <vertAlign val="subscript"/>
        <sz val="10"/>
        <color theme="1"/>
        <rFont val="Arial Narrow"/>
        <family val="2"/>
      </rPr>
      <t>sreq.</t>
    </r>
    <r>
      <rPr>
        <sz val="10"/>
        <color theme="1"/>
        <rFont val="Arial Narrow"/>
        <family val="2"/>
      </rPr>
      <t>(mm</t>
    </r>
    <r>
      <rPr>
        <vertAlign val="superscript"/>
        <sz val="10"/>
        <color theme="1"/>
        <rFont val="Arial Narrow"/>
        <family val="2"/>
      </rPr>
      <t>2</t>
    </r>
    <r>
      <rPr>
        <sz val="10"/>
        <color theme="1"/>
        <rFont val="Arial Narrow"/>
        <family val="2"/>
      </rPr>
      <t>)=</t>
    </r>
  </si>
  <si>
    <t>Mn(Mpa)=</t>
  </si>
  <si>
    <t>2DB16</t>
  </si>
  <si>
    <t>3DB16</t>
  </si>
  <si>
    <t>4DB16</t>
  </si>
  <si>
    <r>
      <t>DB</t>
    </r>
    <r>
      <rPr>
        <vertAlign val="subscript"/>
        <sz val="10"/>
        <color theme="1"/>
        <rFont val="Arial Narrow"/>
        <family val="2"/>
      </rPr>
      <t>1</t>
    </r>
    <r>
      <rPr>
        <sz val="10"/>
        <color theme="1"/>
        <rFont val="Arial Narrow"/>
        <family val="2"/>
      </rPr>
      <t>(mm)</t>
    </r>
  </si>
  <si>
    <r>
      <t>ϕ</t>
    </r>
    <r>
      <rPr>
        <vertAlign val="subscript"/>
        <sz val="10"/>
        <color theme="1"/>
        <rFont val="Arial Narrow"/>
        <family val="2"/>
      </rPr>
      <t>b</t>
    </r>
    <r>
      <rPr>
        <sz val="10"/>
        <color theme="1"/>
        <rFont val="Arial Narrow"/>
        <family val="2"/>
      </rPr>
      <t>M</t>
    </r>
    <r>
      <rPr>
        <vertAlign val="subscript"/>
        <sz val="10"/>
        <color theme="1"/>
        <rFont val="Arial Narrow"/>
        <family val="2"/>
      </rPr>
      <t>n</t>
    </r>
    <r>
      <rPr>
        <sz val="10"/>
        <color theme="1"/>
        <rFont val="Arial Narrow"/>
        <family val="2"/>
      </rPr>
      <t>(Mpa)=</t>
    </r>
  </si>
  <si>
    <t>20x40</t>
  </si>
  <si>
    <t>Number</t>
  </si>
  <si>
    <t>20x30</t>
  </si>
  <si>
    <r>
      <t>A</t>
    </r>
    <r>
      <rPr>
        <vertAlign val="subscript"/>
        <sz val="10"/>
        <color theme="1"/>
        <rFont val="Arial Narrow"/>
        <family val="2"/>
      </rPr>
      <t>saval.</t>
    </r>
    <r>
      <rPr>
        <sz val="10"/>
        <color theme="1"/>
        <rFont val="Arial Narrow"/>
        <family val="2"/>
      </rPr>
      <t>(mm</t>
    </r>
    <r>
      <rPr>
        <vertAlign val="superscript"/>
        <sz val="10"/>
        <color theme="1"/>
        <rFont val="Arial Narrow"/>
        <family val="2"/>
      </rPr>
      <t>2</t>
    </r>
    <r>
      <rPr>
        <sz val="10"/>
        <color theme="1"/>
        <rFont val="Arial Narrow"/>
        <family val="2"/>
      </rPr>
      <t>)=</t>
    </r>
  </si>
  <si>
    <t>Shear Design</t>
  </si>
  <si>
    <t>ϕVc=</t>
  </si>
  <si>
    <t>Vu=</t>
  </si>
  <si>
    <t>ϕVc/2=</t>
  </si>
  <si>
    <t>Vu</t>
  </si>
  <si>
    <t>Vs=</t>
  </si>
  <si>
    <t>RB</t>
  </si>
  <si>
    <t>Av=</t>
  </si>
  <si>
    <t>mm2</t>
  </si>
  <si>
    <t>Smax=</t>
  </si>
  <si>
    <t>S=</t>
  </si>
  <si>
    <r>
      <t>S</t>
    </r>
    <r>
      <rPr>
        <vertAlign val="subscript"/>
        <sz val="10"/>
        <color theme="1"/>
        <rFont val="Arial Narrow"/>
        <family val="2"/>
      </rPr>
      <t>final</t>
    </r>
    <r>
      <rPr>
        <sz val="10"/>
        <color theme="1"/>
        <rFont val="Arial Narrow"/>
        <family val="2"/>
      </rPr>
      <t>=</t>
    </r>
  </si>
  <si>
    <t>Deflection</t>
  </si>
  <si>
    <t>Es =</t>
  </si>
  <si>
    <t>Ec =</t>
  </si>
  <si>
    <r>
      <t>mm</t>
    </r>
    <r>
      <rPr>
        <vertAlign val="superscript"/>
        <sz val="10"/>
        <color theme="1"/>
        <rFont val="Arial Narrow"/>
        <family val="2"/>
      </rPr>
      <t>4</t>
    </r>
  </si>
  <si>
    <t>λinfi=</t>
  </si>
  <si>
    <t>x=</t>
  </si>
  <si>
    <t>λ3year=</t>
  </si>
  <si>
    <t>Deflection due to</t>
  </si>
  <si>
    <t>D</t>
  </si>
  <si>
    <t>D+L</t>
  </si>
  <si>
    <t>L</t>
  </si>
  <si>
    <t>D+50%L</t>
  </si>
  <si>
    <t>50%L</t>
  </si>
  <si>
    <t>(Mcr/MD)</t>
  </si>
  <si>
    <r>
      <t>I</t>
    </r>
    <r>
      <rPr>
        <vertAlign val="subscript"/>
        <sz val="10"/>
        <color theme="1"/>
        <rFont val="Arial Narrow"/>
        <family val="2"/>
      </rPr>
      <t>e,D</t>
    </r>
    <r>
      <rPr>
        <sz val="10"/>
        <color theme="1"/>
        <rFont val="Arial Narrow"/>
        <family val="2"/>
      </rPr>
      <t>(mm4)</t>
    </r>
  </si>
  <si>
    <r>
      <t>δ</t>
    </r>
    <r>
      <rPr>
        <vertAlign val="subscript"/>
        <sz val="10"/>
        <color theme="1"/>
        <rFont val="Arial Narrow"/>
        <family val="2"/>
      </rPr>
      <t>D</t>
    </r>
    <r>
      <rPr>
        <sz val="10"/>
        <color theme="1"/>
        <rFont val="Arial Narrow"/>
        <family val="2"/>
      </rPr>
      <t>(mm)</t>
    </r>
  </si>
  <si>
    <r>
      <t>δ</t>
    </r>
    <r>
      <rPr>
        <vertAlign val="subscript"/>
        <sz val="10"/>
        <color theme="1"/>
        <rFont val="Arial Narrow"/>
        <family val="2"/>
      </rPr>
      <t>Long term</t>
    </r>
    <r>
      <rPr>
        <sz val="10"/>
        <color theme="1"/>
        <rFont val="Arial Narrow"/>
        <family val="2"/>
      </rPr>
      <t>=</t>
    </r>
  </si>
  <si>
    <r>
      <t>δ</t>
    </r>
    <r>
      <rPr>
        <vertAlign val="subscript"/>
        <sz val="10"/>
        <color theme="1"/>
        <rFont val="Arial Narrow"/>
        <family val="2"/>
      </rPr>
      <t>All</t>
    </r>
    <r>
      <rPr>
        <sz val="10"/>
        <color theme="1"/>
        <rFont val="Arial Narrow"/>
        <family val="2"/>
      </rPr>
      <t>=</t>
    </r>
  </si>
  <si>
    <t>B-102</t>
  </si>
  <si>
    <t>B-202</t>
  </si>
  <si>
    <t>B-203</t>
  </si>
  <si>
    <t>B-204</t>
  </si>
  <si>
    <t>1st Floor slab design</t>
  </si>
  <si>
    <t>2nd Floor slab design</t>
  </si>
  <si>
    <t>B-104</t>
  </si>
  <si>
    <t>B-103</t>
  </si>
  <si>
    <t>B-201</t>
  </si>
  <si>
    <t>B-205</t>
  </si>
  <si>
    <t>B-302</t>
  </si>
  <si>
    <t>B-303</t>
  </si>
  <si>
    <t>B-303a</t>
  </si>
  <si>
    <t>B-304</t>
  </si>
  <si>
    <t>3rd Floor slab design</t>
  </si>
  <si>
    <t>B-402</t>
  </si>
  <si>
    <t>B-403</t>
  </si>
  <si>
    <t>B-404</t>
  </si>
  <si>
    <t>B-403a</t>
  </si>
  <si>
    <t>B-404a</t>
  </si>
  <si>
    <t>4th Floor slab design</t>
  </si>
  <si>
    <t>5th Floor slab design</t>
  </si>
  <si>
    <t>B-502</t>
  </si>
  <si>
    <t>B-503</t>
  </si>
  <si>
    <t>B-504</t>
  </si>
  <si>
    <t>DB</t>
  </si>
  <si>
    <t>n</t>
  </si>
  <si>
    <t>area</t>
  </si>
  <si>
    <t>B-101b</t>
  </si>
  <si>
    <t>B-101c</t>
  </si>
  <si>
    <t>B-101d</t>
  </si>
  <si>
    <t>B-202d</t>
  </si>
  <si>
    <t>B-405</t>
  </si>
  <si>
    <t>B-504a</t>
  </si>
  <si>
    <t>B-504b</t>
  </si>
  <si>
    <t>B-203a</t>
  </si>
  <si>
    <t>B-205a</t>
  </si>
  <si>
    <t>B-302a</t>
  </si>
  <si>
    <t>B-101a</t>
  </si>
  <si>
    <t>B-303b</t>
  </si>
  <si>
    <t>B-403d</t>
  </si>
  <si>
    <t>B-502a</t>
  </si>
  <si>
    <t>B-206</t>
  </si>
  <si>
    <t>B-202a</t>
  </si>
  <si>
    <t>B-202c</t>
  </si>
  <si>
    <t>B-303c</t>
  </si>
  <si>
    <t>B-303d</t>
  </si>
  <si>
    <t>B-303e</t>
  </si>
  <si>
    <t>B-402a</t>
  </si>
  <si>
    <t>B-402b</t>
  </si>
  <si>
    <t>B-403b</t>
  </si>
  <si>
    <t>B-403c</t>
  </si>
  <si>
    <t>B-404a-1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</si>
</sst>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(* #,##0.00_);_(* \(#,##0.00\);_(* &quot;-&quot;??_);_(@_)"/>
    <numFmt numFmtId="164" formatCode="0.000"/>
    <numFmt numFmtId="165" formatCode="0.0000"/>
    <numFmt numFmtId="166" formatCode="0.000000"/>
    <numFmt numFmtId="167" formatCode="0.0"/>
    <numFmt numFmtId="168" formatCode="_(* #,##0.0000_);_(* \(#,##0.0000\);_(* &quot;-&quot;??_);_(@_)"/>
  </numFmts>
  <fonts count="3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6"/>
      <color theme="1"/>
      <name val="Calibri Light"/>
      <family val="1"/>
      <scheme val="major"/>
    </font>
    <font>
      <sz val="11"/>
      <color theme="1"/>
      <name val="Calibri Light"/>
      <family val="1"/>
      <scheme val="major"/>
    </font>
    <font>
      <sz val="12"/>
      <color theme="5" tint="-0.499984740745262"/>
      <name val="Calibri Light"/>
      <family val="1"/>
      <scheme val="major"/>
    </font>
    <font>
      <sz val="11"/>
      <color theme="5" tint="-0.499984740745262"/>
      <name val="Calibri Light"/>
      <family val="1"/>
      <scheme val="major"/>
    </font>
    <font>
      <b/>
      <sz val="11"/>
      <color theme="1"/>
      <name val="Calibri Light"/>
      <family val="1"/>
      <scheme val="major"/>
    </font>
    <font>
      <b/>
      <sz val="11"/>
      <color rgb="FF0070C0"/>
      <name val="Calibri Light"/>
      <family val="1"/>
      <scheme val="major"/>
    </font>
    <font>
      <vertAlign val="subscript"/>
      <sz val="11"/>
      <color theme="1"/>
      <name val="Calibri Light"/>
      <family val="1"/>
      <scheme val="major"/>
    </font>
    <font>
      <vertAlign val="superscript"/>
      <sz val="11"/>
      <color theme="1"/>
      <name val="Calibri Light"/>
      <family val="1"/>
      <scheme val="major"/>
    </font>
    <font>
      <sz val="11"/>
      <name val="Calibri Light"/>
      <family val="1"/>
      <scheme val="major"/>
    </font>
    <font>
      <sz val="11"/>
      <color rgb="FFFF0000"/>
      <name val="Calibri Light"/>
      <family val="1"/>
      <scheme val="major"/>
    </font>
    <font>
      <b/>
      <sz val="11"/>
      <name val="Calibri Light"/>
      <family val="1"/>
      <scheme val="major"/>
    </font>
    <font>
      <b/>
      <vertAlign val="superscript"/>
      <sz val="11"/>
      <color theme="1"/>
      <name val="Calibri Light"/>
      <family val="1"/>
      <scheme val="major"/>
    </font>
    <font>
      <b/>
      <sz val="11"/>
      <color rgb="FFFF0000"/>
      <name val="Calibri Light"/>
      <family val="1"/>
      <scheme val="major"/>
    </font>
    <font>
      <sz val="12"/>
      <color theme="1"/>
      <name val="Calibri Light"/>
      <family val="1"/>
      <scheme val="major"/>
    </font>
    <font>
      <sz val="8"/>
      <color theme="1"/>
      <name val="Calibri Light"/>
      <family val="1"/>
      <scheme val="major"/>
    </font>
    <font>
      <b/>
      <sz val="11"/>
      <color rgb="FF000000"/>
      <name val="Calibri Light"/>
      <family val="1"/>
      <scheme val="major"/>
    </font>
    <font>
      <sz val="11.5"/>
      <color rgb="FF000000"/>
      <name val="Calibri Light"/>
      <family val="1"/>
      <scheme val="major"/>
    </font>
    <font>
      <u/>
      <sz val="11"/>
      <color theme="10"/>
      <name val="Calibri"/>
      <family val="2"/>
    </font>
    <font>
      <u/>
      <sz val="11"/>
      <color theme="10"/>
      <name val="Calibri Light"/>
      <family val="1"/>
      <scheme val="major"/>
    </font>
    <font>
      <sz val="10"/>
      <name val="Arial"/>
      <family val="2"/>
    </font>
    <font>
      <b/>
      <sz val="10"/>
      <name val="Arial Narrow"/>
      <family val="2"/>
    </font>
    <font>
      <b/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name val="Arial Narrow"/>
      <family val="2"/>
    </font>
    <font>
      <b/>
      <u/>
      <sz val="10"/>
      <color theme="1"/>
      <name val="Arial Narrow"/>
      <family val="2"/>
    </font>
    <font>
      <b/>
      <u/>
      <sz val="10"/>
      <color rgb="FF000000"/>
      <name val="Arial Narrow"/>
      <family val="2"/>
    </font>
    <font>
      <b/>
      <sz val="10"/>
      <color rgb="FF0070C0"/>
      <name val="Arial Narrow"/>
      <family val="2"/>
    </font>
    <font>
      <vertAlign val="subscript"/>
      <sz val="10"/>
      <color theme="1"/>
      <name val="Arial Narrow"/>
      <family val="2"/>
    </font>
    <font>
      <vertAlign val="superscript"/>
      <sz val="10"/>
      <color theme="1"/>
      <name val="Arial Narrow"/>
      <family val="2"/>
    </font>
    <font>
      <b/>
      <sz val="10"/>
      <color rgb="FFFF0000"/>
      <name val="Arial Narrow"/>
      <family val="2"/>
    </font>
    <font>
      <sz val="10"/>
      <color theme="0"/>
      <name val="Arial Narrow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</fills>
  <borders count="3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indexed="64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medium">
        <color indexed="64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auto="1"/>
      </left>
      <right/>
      <top/>
      <bottom style="thin">
        <color auto="1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19" fillId="0" borderId="0" applyNumberFormat="0" applyFill="0" applyBorder="0" applyAlignment="0" applyProtection="0">
      <alignment vertical="top"/>
      <protection locked="0"/>
    </xf>
    <xf numFmtId="0" fontId="21" fillId="0" borderId="0"/>
  </cellStyleXfs>
  <cellXfs count="199">
    <xf numFmtId="0" fontId="0" fillId="0" borderId="0" xfId="0"/>
    <xf numFmtId="0" fontId="2" fillId="0" borderId="0" xfId="0" applyFont="1" applyAlignment="1">
      <alignment horizontal="left" vertical="top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0" fontId="4" fillId="0" borderId="4" xfId="0" applyFont="1" applyBorder="1" applyAlignment="1">
      <alignment horizontal="center"/>
    </xf>
    <xf numFmtId="0" fontId="5" fillId="0" borderId="4" xfId="0" applyFont="1" applyBorder="1" applyAlignment="1">
      <alignment horizontal="center"/>
    </xf>
    <xf numFmtId="0" fontId="3" fillId="0" borderId="6" xfId="0" applyFont="1" applyBorder="1" applyAlignment="1">
      <alignment horizontal="center" vertical="center"/>
    </xf>
    <xf numFmtId="0" fontId="3" fillId="0" borderId="7" xfId="0" applyFont="1" applyBorder="1" applyAlignment="1">
      <alignment vertical="center"/>
    </xf>
    <xf numFmtId="0" fontId="6" fillId="0" borderId="0" xfId="0" applyFont="1" applyAlignment="1">
      <alignment vertical="center"/>
    </xf>
    <xf numFmtId="0" fontId="3" fillId="0" borderId="8" xfId="0" applyFont="1" applyBorder="1" applyAlignment="1">
      <alignment vertical="center"/>
    </xf>
    <xf numFmtId="0" fontId="3" fillId="0" borderId="7" xfId="0" applyFont="1" applyBorder="1" applyAlignment="1">
      <alignment horizontal="right" vertical="center"/>
    </xf>
    <xf numFmtId="0" fontId="6" fillId="0" borderId="0" xfId="0" applyFont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3" fillId="0" borderId="0" xfId="0" applyFont="1" applyAlignment="1">
      <alignment horizontal="right" vertical="center"/>
    </xf>
    <xf numFmtId="0" fontId="6" fillId="0" borderId="0" xfId="0" applyFont="1" applyAlignment="1">
      <alignment horizontal="center" vertical="center"/>
    </xf>
    <xf numFmtId="0" fontId="7" fillId="0" borderId="6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164" fontId="3" fillId="0" borderId="0" xfId="0" applyNumberFormat="1" applyFont="1" applyAlignment="1">
      <alignment horizontal="center" vertical="center"/>
    </xf>
    <xf numFmtId="164" fontId="6" fillId="0" borderId="0" xfId="0" applyNumberFormat="1" applyFont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164" fontId="10" fillId="0" borderId="6" xfId="0" applyNumberFormat="1" applyFont="1" applyBorder="1" applyAlignment="1">
      <alignment horizontal="center" vertical="center"/>
    </xf>
    <xf numFmtId="164" fontId="3" fillId="0" borderId="6" xfId="0" applyNumberFormat="1" applyFont="1" applyBorder="1" applyAlignment="1">
      <alignment horizontal="center" vertical="center"/>
    </xf>
    <xf numFmtId="0" fontId="6" fillId="0" borderId="7" xfId="0" applyFont="1" applyBorder="1" applyAlignment="1">
      <alignment horizontal="left" vertical="center"/>
    </xf>
    <xf numFmtId="2" fontId="3" fillId="0" borderId="0" xfId="0" applyNumberFormat="1" applyFont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164" fontId="3" fillId="0" borderId="8" xfId="0" applyNumberFormat="1" applyFont="1" applyBorder="1" applyAlignment="1">
      <alignment horizontal="center" vertical="center"/>
    </xf>
    <xf numFmtId="2" fontId="10" fillId="0" borderId="0" xfId="0" applyNumberFormat="1" applyFont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1" fontId="10" fillId="0" borderId="0" xfId="0" applyNumberFormat="1" applyFont="1" applyAlignment="1">
      <alignment horizontal="center" vertical="center"/>
    </xf>
    <xf numFmtId="2" fontId="3" fillId="0" borderId="8" xfId="0" applyNumberFormat="1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2" fontId="10" fillId="0" borderId="8" xfId="0" applyNumberFormat="1" applyFont="1" applyBorder="1" applyAlignment="1">
      <alignment horizontal="center" vertical="center"/>
    </xf>
    <xf numFmtId="2" fontId="11" fillId="0" borderId="6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165" fontId="10" fillId="0" borderId="0" xfId="0" applyNumberFormat="1" applyFont="1" applyAlignment="1">
      <alignment horizontal="center" vertical="center"/>
    </xf>
    <xf numFmtId="165" fontId="10" fillId="0" borderId="8" xfId="0" applyNumberFormat="1" applyFont="1" applyBorder="1" applyAlignment="1">
      <alignment horizontal="center" vertical="center"/>
    </xf>
    <xf numFmtId="2" fontId="11" fillId="0" borderId="0" xfId="0" applyNumberFormat="1" applyFont="1" applyAlignment="1">
      <alignment horizontal="center" vertical="center"/>
    </xf>
    <xf numFmtId="2" fontId="11" fillId="0" borderId="8" xfId="0" applyNumberFormat="1" applyFont="1" applyBorder="1" applyAlignment="1">
      <alignment horizontal="center" vertical="center"/>
    </xf>
    <xf numFmtId="1" fontId="12" fillId="0" borderId="0" xfId="0" applyNumberFormat="1" applyFont="1" applyAlignment="1">
      <alignment horizontal="center" vertical="center"/>
    </xf>
    <xf numFmtId="1" fontId="12" fillId="0" borderId="8" xfId="0" applyNumberFormat="1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2" fontId="14" fillId="0" borderId="0" xfId="0" applyNumberFormat="1" applyFont="1" applyAlignment="1">
      <alignment horizontal="center" vertical="center"/>
    </xf>
    <xf numFmtId="2" fontId="14" fillId="0" borderId="8" xfId="0" applyNumberFormat="1" applyFont="1" applyBorder="1" applyAlignment="1">
      <alignment horizontal="center" vertical="center"/>
    </xf>
    <xf numFmtId="2" fontId="7" fillId="0" borderId="10" xfId="0" applyNumberFormat="1" applyFont="1" applyBorder="1" applyAlignment="1">
      <alignment horizontal="center" vertical="center"/>
    </xf>
    <xf numFmtId="2" fontId="7" fillId="0" borderId="11" xfId="0" applyNumberFormat="1" applyFont="1" applyBorder="1" applyAlignment="1">
      <alignment horizontal="center" vertical="center"/>
    </xf>
    <xf numFmtId="0" fontId="11" fillId="2" borderId="0" xfId="0" applyFont="1" applyFill="1" applyAlignment="1">
      <alignment horizontal="center" vertical="center"/>
    </xf>
    <xf numFmtId="0" fontId="6" fillId="0" borderId="12" xfId="0" applyFont="1" applyBorder="1" applyAlignment="1">
      <alignment horizontal="left" vertical="center"/>
    </xf>
    <xf numFmtId="0" fontId="3" fillId="0" borderId="13" xfId="0" applyFont="1" applyBorder="1" applyAlignment="1">
      <alignment horizontal="left" vertical="center"/>
    </xf>
    <xf numFmtId="0" fontId="3" fillId="0" borderId="13" xfId="0" applyFont="1" applyBorder="1" applyAlignment="1">
      <alignment vertical="center"/>
    </xf>
    <xf numFmtId="0" fontId="3" fillId="0" borderId="14" xfId="0" applyFont="1" applyBorder="1" applyAlignment="1">
      <alignment horizontal="left" vertical="center"/>
    </xf>
    <xf numFmtId="0" fontId="15" fillId="0" borderId="0" xfId="0" applyFont="1" applyAlignment="1">
      <alignment vertical="center"/>
    </xf>
    <xf numFmtId="0" fontId="3" fillId="0" borderId="15" xfId="0" applyFont="1" applyBorder="1" applyAlignment="1">
      <alignment vertical="center"/>
    </xf>
    <xf numFmtId="0" fontId="3" fillId="0" borderId="16" xfId="0" applyFont="1" applyBorder="1" applyAlignment="1">
      <alignment vertical="center"/>
    </xf>
    <xf numFmtId="166" fontId="3" fillId="0" borderId="0" xfId="0" applyNumberFormat="1" applyFont="1" applyAlignment="1">
      <alignment horizontal="center" vertical="center"/>
    </xf>
    <xf numFmtId="0" fontId="3" fillId="0" borderId="18" xfId="0" applyFont="1" applyBorder="1" applyAlignment="1">
      <alignment vertical="center"/>
    </xf>
    <xf numFmtId="2" fontId="3" fillId="0" borderId="15" xfId="0" applyNumberFormat="1" applyFont="1" applyBorder="1" applyAlignment="1">
      <alignment horizontal="center" vertical="center"/>
    </xf>
    <xf numFmtId="0" fontId="3" fillId="0" borderId="19" xfId="0" applyFont="1" applyBorder="1" applyAlignment="1">
      <alignment vertical="center"/>
    </xf>
    <xf numFmtId="167" fontId="3" fillId="0" borderId="0" xfId="0" applyNumberFormat="1" applyFont="1" applyAlignment="1">
      <alignment horizontal="center" vertical="center"/>
    </xf>
    <xf numFmtId="0" fontId="3" fillId="0" borderId="20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17" fillId="0" borderId="0" xfId="0" applyFont="1" applyAlignment="1">
      <alignment vertical="center"/>
    </xf>
    <xf numFmtId="0" fontId="15" fillId="0" borderId="16" xfId="0" applyFont="1" applyBorder="1" applyAlignment="1">
      <alignment vertical="center"/>
    </xf>
    <xf numFmtId="1" fontId="3" fillId="0" borderId="0" xfId="0" applyNumberFormat="1" applyFont="1" applyAlignment="1">
      <alignment horizontal="center" vertical="center"/>
    </xf>
    <xf numFmtId="2" fontId="14" fillId="0" borderId="15" xfId="0" applyNumberFormat="1" applyFont="1" applyBorder="1" applyAlignment="1">
      <alignment horizontal="center" vertical="center"/>
    </xf>
    <xf numFmtId="0" fontId="3" fillId="0" borderId="22" xfId="0" applyFont="1" applyBorder="1" applyAlignment="1">
      <alignment vertical="center"/>
    </xf>
    <xf numFmtId="0" fontId="18" fillId="0" borderId="0" xfId="0" applyFont="1" applyAlignment="1">
      <alignment horizontal="center" vertical="center" wrapText="1"/>
    </xf>
    <xf numFmtId="0" fontId="20" fillId="0" borderId="0" xfId="2" applyFont="1" applyAlignment="1" applyProtection="1">
      <alignment horizontal="center" vertical="center" wrapText="1"/>
    </xf>
    <xf numFmtId="1" fontId="10" fillId="0" borderId="6" xfId="2" applyNumberFormat="1" applyFont="1" applyBorder="1" applyAlignment="1" applyProtection="1">
      <alignment horizontal="center" vertical="center"/>
    </xf>
    <xf numFmtId="0" fontId="10" fillId="0" borderId="6" xfId="2" applyFont="1" applyBorder="1" applyAlignment="1" applyProtection="1">
      <alignment horizontal="center" vertical="center"/>
    </xf>
    <xf numFmtId="0" fontId="17" fillId="0" borderId="8" xfId="0" applyFont="1" applyBorder="1" applyAlignment="1">
      <alignment vertical="center"/>
    </xf>
    <xf numFmtId="43" fontId="3" fillId="0" borderId="0" xfId="1" applyFont="1" applyAlignment="1">
      <alignment vertical="center"/>
    </xf>
    <xf numFmtId="0" fontId="3" fillId="0" borderId="9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center" vertical="center"/>
    </xf>
    <xf numFmtId="0" fontId="3" fillId="0" borderId="11" xfId="0" applyFont="1" applyBorder="1" applyAlignment="1">
      <alignment vertical="center"/>
    </xf>
    <xf numFmtId="2" fontId="3" fillId="0" borderId="0" xfId="1" applyNumberFormat="1" applyFont="1" applyAlignment="1">
      <alignment horizontal="center" vertical="center"/>
    </xf>
    <xf numFmtId="0" fontId="3" fillId="0" borderId="24" xfId="0" applyFont="1" applyBorder="1" applyAlignment="1">
      <alignment vertical="center"/>
    </xf>
    <xf numFmtId="0" fontId="3" fillId="0" borderId="25" xfId="0" applyFont="1" applyBorder="1" applyAlignment="1">
      <alignment vertical="center"/>
    </xf>
    <xf numFmtId="0" fontId="3" fillId="0" borderId="26" xfId="0" applyFont="1" applyBorder="1" applyAlignment="1">
      <alignment vertical="center"/>
    </xf>
    <xf numFmtId="0" fontId="3" fillId="0" borderId="27" xfId="0" applyFont="1" applyBorder="1" applyAlignment="1">
      <alignment vertical="center"/>
    </xf>
    <xf numFmtId="0" fontId="3" fillId="0" borderId="28" xfId="0" applyFont="1" applyBorder="1" applyAlignment="1">
      <alignment vertical="center"/>
    </xf>
    <xf numFmtId="0" fontId="23" fillId="0" borderId="5" xfId="0" applyFont="1" applyBorder="1" applyAlignment="1">
      <alignment horizontal="center" vertical="center"/>
    </xf>
    <xf numFmtId="0" fontId="24" fillId="0" borderId="0" xfId="0" applyFont="1" applyAlignment="1">
      <alignment vertical="center"/>
    </xf>
    <xf numFmtId="0" fontId="25" fillId="0" borderId="30" xfId="3" applyFont="1" applyBorder="1" applyAlignment="1">
      <alignment vertical="center"/>
    </xf>
    <xf numFmtId="0" fontId="22" fillId="0" borderId="31" xfId="0" applyFont="1" applyBorder="1" applyAlignment="1">
      <alignment horizontal="center" vertical="center"/>
    </xf>
    <xf numFmtId="0" fontId="24" fillId="0" borderId="33" xfId="0" applyFont="1" applyBorder="1" applyAlignment="1">
      <alignment horizontal="right" vertical="center"/>
    </xf>
    <xf numFmtId="0" fontId="28" fillId="0" borderId="25" xfId="0" applyFont="1" applyBorder="1" applyAlignment="1">
      <alignment horizontal="center" vertical="center"/>
    </xf>
    <xf numFmtId="0" fontId="24" fillId="0" borderId="25" xfId="0" applyFont="1" applyBorder="1" applyAlignment="1">
      <alignment vertical="center"/>
    </xf>
    <xf numFmtId="0" fontId="24" fillId="0" borderId="25" xfId="0" applyFont="1" applyBorder="1" applyAlignment="1">
      <alignment horizontal="right" vertical="center"/>
    </xf>
    <xf numFmtId="0" fontId="24" fillId="0" borderId="34" xfId="0" applyFont="1" applyBorder="1" applyAlignment="1">
      <alignment vertical="center"/>
    </xf>
    <xf numFmtId="0" fontId="23" fillId="0" borderId="0" xfId="0" applyFont="1" applyAlignment="1">
      <alignment vertical="center"/>
    </xf>
    <xf numFmtId="0" fontId="24" fillId="0" borderId="7" xfId="0" applyFont="1" applyBorder="1" applyAlignment="1">
      <alignment horizontal="right" vertical="center"/>
    </xf>
    <xf numFmtId="0" fontId="28" fillId="0" borderId="0" xfId="0" applyFont="1" applyAlignment="1">
      <alignment horizontal="center" vertical="center"/>
    </xf>
    <xf numFmtId="0" fontId="24" fillId="0" borderId="0" xfId="0" applyFont="1" applyAlignment="1">
      <alignment horizontal="right" vertical="center"/>
    </xf>
    <xf numFmtId="0" fontId="24" fillId="0" borderId="8" xfId="0" applyFont="1" applyBorder="1" applyAlignment="1">
      <alignment vertical="center"/>
    </xf>
    <xf numFmtId="0" fontId="24" fillId="0" borderId="0" xfId="0" applyFont="1" applyAlignment="1">
      <alignment horizontal="left" vertical="center"/>
    </xf>
    <xf numFmtId="0" fontId="24" fillId="0" borderId="0" xfId="0" applyFont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24" fillId="0" borderId="35" xfId="0" applyFont="1" applyBorder="1" applyAlignment="1">
      <alignment horizontal="right" vertical="center"/>
    </xf>
    <xf numFmtId="0" fontId="24" fillId="0" borderId="28" xfId="0" applyFont="1" applyBorder="1" applyAlignment="1">
      <alignment horizontal="center" vertical="center"/>
    </xf>
    <xf numFmtId="0" fontId="24" fillId="0" borderId="28" xfId="0" applyFont="1" applyBorder="1" applyAlignment="1">
      <alignment horizontal="left" vertical="center"/>
    </xf>
    <xf numFmtId="0" fontId="24" fillId="0" borderId="28" xfId="0" applyFont="1" applyBorder="1" applyAlignment="1">
      <alignment vertical="center"/>
    </xf>
    <xf numFmtId="0" fontId="24" fillId="0" borderId="28" xfId="0" applyFont="1" applyBorder="1" applyAlignment="1">
      <alignment horizontal="right" vertical="center"/>
    </xf>
    <xf numFmtId="0" fontId="23" fillId="0" borderId="28" xfId="0" applyFont="1" applyBorder="1" applyAlignment="1">
      <alignment horizontal="center" vertical="center"/>
    </xf>
    <xf numFmtId="0" fontId="24" fillId="0" borderId="22" xfId="0" applyFont="1" applyBorder="1" applyAlignment="1">
      <alignment vertical="center"/>
    </xf>
    <xf numFmtId="0" fontId="24" fillId="0" borderId="7" xfId="0" applyFont="1" applyBorder="1" applyAlignment="1">
      <alignment vertical="center"/>
    </xf>
    <xf numFmtId="0" fontId="24" fillId="0" borderId="8" xfId="0" applyFont="1" applyBorder="1" applyAlignment="1">
      <alignment horizontal="center" vertical="center"/>
    </xf>
    <xf numFmtId="2" fontId="24" fillId="0" borderId="0" xfId="0" applyNumberFormat="1" applyFont="1" applyAlignment="1">
      <alignment horizontal="center" vertical="center"/>
    </xf>
    <xf numFmtId="1" fontId="24" fillId="0" borderId="0" xfId="0" applyNumberFormat="1" applyFont="1" applyAlignment="1">
      <alignment horizontal="center" vertical="center"/>
    </xf>
    <xf numFmtId="2" fontId="24" fillId="0" borderId="8" xfId="0" applyNumberFormat="1" applyFont="1" applyBorder="1" applyAlignment="1">
      <alignment horizontal="center" vertical="center"/>
    </xf>
    <xf numFmtId="165" fontId="24" fillId="0" borderId="0" xfId="0" applyNumberFormat="1" applyFont="1" applyAlignment="1">
      <alignment horizontal="center" vertical="center"/>
    </xf>
    <xf numFmtId="168" fontId="24" fillId="0" borderId="0" xfId="1" applyNumberFormat="1" applyFont="1" applyAlignment="1">
      <alignment horizontal="center" vertical="center"/>
    </xf>
    <xf numFmtId="164" fontId="24" fillId="0" borderId="0" xfId="0" applyNumberFormat="1" applyFont="1" applyAlignment="1">
      <alignment horizontal="center" vertical="center"/>
    </xf>
    <xf numFmtId="164" fontId="24" fillId="0" borderId="8" xfId="0" applyNumberFormat="1" applyFont="1" applyBorder="1" applyAlignment="1">
      <alignment horizontal="center" vertical="center"/>
    </xf>
    <xf numFmtId="43" fontId="24" fillId="0" borderId="0" xfId="1" applyFont="1" applyAlignment="1">
      <alignment horizontal="center" vertical="center"/>
    </xf>
    <xf numFmtId="11" fontId="24" fillId="0" borderId="0" xfId="0" applyNumberFormat="1" applyFont="1" applyAlignment="1">
      <alignment horizontal="center" vertical="center"/>
    </xf>
    <xf numFmtId="11" fontId="24" fillId="0" borderId="8" xfId="0" applyNumberFormat="1" applyFont="1" applyBorder="1" applyAlignment="1">
      <alignment horizontal="center" vertical="center"/>
    </xf>
    <xf numFmtId="2" fontId="22" fillId="0" borderId="0" xfId="0" applyNumberFormat="1" applyFont="1" applyAlignment="1">
      <alignment horizontal="center" vertical="center"/>
    </xf>
    <xf numFmtId="2" fontId="22" fillId="0" borderId="8" xfId="0" applyNumberFormat="1" applyFont="1" applyBorder="1" applyAlignment="1">
      <alignment horizontal="center" vertical="center"/>
    </xf>
    <xf numFmtId="2" fontId="24" fillId="0" borderId="28" xfId="1" applyNumberFormat="1" applyFont="1" applyBorder="1" applyAlignment="1">
      <alignment horizontal="center" vertical="center"/>
    </xf>
    <xf numFmtId="2" fontId="24" fillId="0" borderId="28" xfId="0" applyNumberFormat="1" applyFont="1" applyBorder="1" applyAlignment="1">
      <alignment horizontal="center" vertical="center"/>
    </xf>
    <xf numFmtId="0" fontId="31" fillId="0" borderId="28" xfId="0" applyFont="1" applyBorder="1" applyAlignment="1">
      <alignment horizontal="center" vertical="center"/>
    </xf>
    <xf numFmtId="0" fontId="31" fillId="0" borderId="22" xfId="0" applyFont="1" applyBorder="1" applyAlignment="1">
      <alignment horizontal="center" vertical="center"/>
    </xf>
    <xf numFmtId="0" fontId="24" fillId="0" borderId="25" xfId="0" applyFont="1" applyBorder="1" applyAlignment="1">
      <alignment horizontal="center" vertical="center"/>
    </xf>
    <xf numFmtId="2" fontId="24" fillId="0" borderId="0" xfId="0" applyNumberFormat="1" applyFont="1" applyAlignment="1">
      <alignment vertical="center"/>
    </xf>
    <xf numFmtId="1" fontId="24" fillId="0" borderId="28" xfId="0" applyNumberFormat="1" applyFont="1" applyBorder="1" applyAlignment="1">
      <alignment horizontal="center" vertical="center"/>
    </xf>
    <xf numFmtId="0" fontId="26" fillId="0" borderId="33" xfId="0" applyFont="1" applyBorder="1" applyAlignment="1">
      <alignment vertical="center"/>
    </xf>
    <xf numFmtId="0" fontId="24" fillId="0" borderId="9" xfId="0" applyFont="1" applyBorder="1" applyAlignment="1">
      <alignment horizontal="right" vertical="center"/>
    </xf>
    <xf numFmtId="2" fontId="24" fillId="0" borderId="10" xfId="0" applyNumberFormat="1" applyFont="1" applyBorder="1" applyAlignment="1">
      <alignment horizontal="center" vertical="center"/>
    </xf>
    <xf numFmtId="0" fontId="24" fillId="0" borderId="10" xfId="0" applyFont="1" applyBorder="1" applyAlignment="1">
      <alignment vertical="center"/>
    </xf>
    <xf numFmtId="0" fontId="24" fillId="0" borderId="10" xfId="0" applyFont="1" applyBorder="1" applyAlignment="1">
      <alignment horizontal="center" vertical="center"/>
    </xf>
    <xf numFmtId="0" fontId="24" fillId="0" borderId="11" xfId="0" applyFont="1" applyBorder="1" applyAlignment="1">
      <alignment vertical="center"/>
    </xf>
    <xf numFmtId="0" fontId="24" fillId="0" borderId="0" xfId="0" applyFont="1" applyProtection="1">
      <protection hidden="1"/>
    </xf>
    <xf numFmtId="0" fontId="24" fillId="0" borderId="0" xfId="0" applyFont="1" applyAlignment="1" applyProtection="1">
      <alignment horizontal="center"/>
      <protection hidden="1"/>
    </xf>
    <xf numFmtId="2" fontId="7" fillId="0" borderId="21" xfId="0" applyNumberFormat="1" applyFont="1" applyBorder="1" applyAlignment="1">
      <alignment horizontal="center" vertical="center"/>
    </xf>
    <xf numFmtId="0" fontId="24" fillId="3" borderId="0" xfId="0" applyFont="1" applyFill="1" applyAlignment="1">
      <alignment vertical="center"/>
    </xf>
    <xf numFmtId="0" fontId="24" fillId="3" borderId="0" xfId="0" applyFont="1" applyFill="1" applyAlignment="1">
      <alignment horizontal="center" vertical="center"/>
    </xf>
    <xf numFmtId="0" fontId="32" fillId="0" borderId="28" xfId="0" applyFont="1" applyBorder="1" applyAlignment="1">
      <alignment vertical="center"/>
    </xf>
    <xf numFmtId="0" fontId="32" fillId="0" borderId="0" xfId="0" applyFont="1" applyAlignment="1">
      <alignment vertical="center"/>
    </xf>
    <xf numFmtId="0" fontId="28" fillId="2" borderId="0" xfId="0" applyFont="1" applyFill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top"/>
    </xf>
    <xf numFmtId="0" fontId="4" fillId="0" borderId="1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6" fillId="0" borderId="7" xfId="0" applyFont="1" applyBorder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3" fillId="0" borderId="7" xfId="0" applyFont="1" applyBorder="1" applyAlignment="1">
      <alignment horizontal="right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0" fontId="6" fillId="0" borderId="0" xfId="0" applyFont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164" fontId="3" fillId="0" borderId="0" xfId="0" applyNumberFormat="1" applyFont="1" applyAlignment="1">
      <alignment horizontal="center" vertical="center"/>
    </xf>
    <xf numFmtId="0" fontId="3" fillId="0" borderId="7" xfId="0" applyFont="1" applyBorder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6" fillId="0" borderId="7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0" xfId="0" applyFont="1" applyAlignment="1">
      <alignment horizontal="center"/>
    </xf>
    <xf numFmtId="0" fontId="3" fillId="0" borderId="9" xfId="0" applyFont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14" fillId="0" borderId="15" xfId="0" applyFont="1" applyBorder="1" applyAlignment="1">
      <alignment horizontal="center" vertical="center"/>
    </xf>
    <xf numFmtId="0" fontId="14" fillId="0" borderId="16" xfId="0" applyFont="1" applyBorder="1" applyAlignment="1">
      <alignment horizontal="center" vertical="center"/>
    </xf>
    <xf numFmtId="0" fontId="22" fillId="0" borderId="29" xfId="3" applyFont="1" applyBorder="1" applyAlignment="1">
      <alignment horizontal="center" vertical="center"/>
    </xf>
    <xf numFmtId="0" fontId="22" fillId="0" borderId="4" xfId="3" applyFont="1" applyBorder="1" applyAlignment="1">
      <alignment horizontal="center" vertical="center"/>
    </xf>
    <xf numFmtId="0" fontId="23" fillId="0" borderId="4" xfId="0" applyFont="1" applyBorder="1" applyAlignment="1">
      <alignment horizontal="center" vertical="center" wrapText="1"/>
    </xf>
    <xf numFmtId="0" fontId="23" fillId="0" borderId="6" xfId="0" applyFont="1" applyBorder="1" applyAlignment="1">
      <alignment horizontal="center" vertical="center" wrapText="1"/>
    </xf>
    <xf numFmtId="0" fontId="22" fillId="0" borderId="6" xfId="3" applyFont="1" applyBorder="1" applyAlignment="1">
      <alignment horizontal="center" vertical="center"/>
    </xf>
    <xf numFmtId="0" fontId="22" fillId="0" borderId="30" xfId="3" applyFont="1" applyBorder="1" applyAlignment="1">
      <alignment horizontal="left" vertical="center"/>
    </xf>
    <xf numFmtId="0" fontId="22" fillId="0" borderId="6" xfId="3" applyFont="1" applyBorder="1" applyAlignment="1">
      <alignment horizontal="left" vertical="center"/>
    </xf>
    <xf numFmtId="0" fontId="22" fillId="0" borderId="31" xfId="3" applyFont="1" applyBorder="1" applyAlignment="1">
      <alignment horizontal="left" vertical="center"/>
    </xf>
    <xf numFmtId="0" fontId="26" fillId="0" borderId="32" xfId="0" applyFont="1" applyBorder="1" applyAlignment="1">
      <alignment horizontal="center" vertical="center"/>
    </xf>
    <xf numFmtId="0" fontId="26" fillId="0" borderId="17" xfId="0" applyFont="1" applyBorder="1" applyAlignment="1">
      <alignment horizontal="center" vertical="center"/>
    </xf>
    <xf numFmtId="0" fontId="27" fillId="0" borderId="23" xfId="0" applyFont="1" applyBorder="1" applyAlignment="1">
      <alignment horizontal="center" vertical="center"/>
    </xf>
    <xf numFmtId="0" fontId="27" fillId="0" borderId="6" xfId="0" applyFont="1" applyBorder="1" applyAlignment="1">
      <alignment horizontal="center" vertical="center"/>
    </xf>
    <xf numFmtId="0" fontId="27" fillId="0" borderId="31" xfId="0" applyFont="1" applyBorder="1" applyAlignment="1">
      <alignment horizontal="center" vertical="center"/>
    </xf>
    <xf numFmtId="0" fontId="24" fillId="0" borderId="7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31" fillId="0" borderId="0" xfId="0" applyFont="1" applyAlignment="1">
      <alignment horizontal="center" vertical="center"/>
    </xf>
    <xf numFmtId="0" fontId="31" fillId="0" borderId="10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6" fillId="0" borderId="33" xfId="0" applyFont="1" applyBorder="1" applyAlignment="1">
      <alignment horizontal="center" vertical="center"/>
    </xf>
    <xf numFmtId="0" fontId="26" fillId="0" borderId="25" xfId="0" applyFont="1" applyBorder="1" applyAlignment="1">
      <alignment horizontal="center" vertical="center"/>
    </xf>
    <xf numFmtId="0" fontId="26" fillId="0" borderId="34" xfId="0" applyFont="1" applyBorder="1" applyAlignment="1">
      <alignment horizontal="center" vertical="center"/>
    </xf>
    <xf numFmtId="0" fontId="26" fillId="0" borderId="33" xfId="0" applyFont="1" applyBorder="1" applyAlignment="1">
      <alignment horizontal="left" vertical="center"/>
    </xf>
    <xf numFmtId="0" fontId="26" fillId="0" borderId="25" xfId="0" applyFont="1" applyBorder="1" applyAlignment="1">
      <alignment horizontal="left" vertical="center"/>
    </xf>
  </cellXfs>
  <cellStyles count="4">
    <cellStyle name="Comma" xfId="1" builtinId="3"/>
    <cellStyle name="Hyperlink" xfId="2" builtinId="8"/>
    <cellStyle name="Normal" xfId="0" builtinId="0"/>
    <cellStyle name="Normal 2" xfId="3" xr:uid="{00000000-0005-0000-0000-000003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theme" Target="theme/theme1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6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6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61.png"/><Relationship Id="rId5" Type="http://schemas.openxmlformats.org/officeDocument/2006/relationships/image" Target="../media/image20.png"/><Relationship Id="rId10" Type="http://schemas.openxmlformats.org/officeDocument/2006/relationships/image" Target="../media/image60.png"/><Relationship Id="rId4" Type="http://schemas.openxmlformats.org/officeDocument/2006/relationships/image" Target="../media/image19.png"/><Relationship Id="rId9" Type="http://schemas.openxmlformats.org/officeDocument/2006/relationships/image" Target="../media/image59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6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6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64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67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70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69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68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71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72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75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74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73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76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79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7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77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80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85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84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83.png"/><Relationship Id="rId5" Type="http://schemas.openxmlformats.org/officeDocument/2006/relationships/image" Target="../media/image20.png"/><Relationship Id="rId10" Type="http://schemas.openxmlformats.org/officeDocument/2006/relationships/image" Target="../media/image82.png"/><Relationship Id="rId4" Type="http://schemas.openxmlformats.org/officeDocument/2006/relationships/image" Target="../media/image19.png"/><Relationship Id="rId9" Type="http://schemas.openxmlformats.org/officeDocument/2006/relationships/image" Target="../media/image81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8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8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8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8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5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92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91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90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93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9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9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94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97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00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99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98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01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04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03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02.png"/><Relationship Id="rId5" Type="http://schemas.openxmlformats.org/officeDocument/2006/relationships/image" Target="../media/image20.png"/><Relationship Id="rId15" Type="http://schemas.openxmlformats.org/officeDocument/2006/relationships/image" Target="../media/image106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05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09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0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07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10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1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1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11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14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17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16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15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18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21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20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19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22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25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24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23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26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2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30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29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28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31.pn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34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33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32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35.pn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3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3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3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39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42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41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40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43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4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4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44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47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50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49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48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51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54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53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52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55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5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5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5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59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62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61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60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6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4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3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2.png"/><Relationship Id="rId5" Type="http://schemas.openxmlformats.org/officeDocument/2006/relationships/image" Target="../media/image20.png"/><Relationship Id="rId10" Type="http://schemas.openxmlformats.org/officeDocument/2006/relationships/image" Target="../media/image31.png"/><Relationship Id="rId4" Type="http://schemas.openxmlformats.org/officeDocument/2006/relationships/image" Target="../media/image19.png"/><Relationship Id="rId9" Type="http://schemas.openxmlformats.org/officeDocument/2006/relationships/image" Target="../media/image30.pn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6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6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64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67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70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69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68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71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74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73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72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75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7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7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7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79.pn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82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81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80.png"/><Relationship Id="rId5" Type="http://schemas.openxmlformats.org/officeDocument/2006/relationships/image" Target="../media/image20.png"/><Relationship Id="rId15" Type="http://schemas.openxmlformats.org/officeDocument/2006/relationships/image" Target="../media/image184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83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85.png"/></Relationships>
</file>

<file path=xl/drawings/_rels/drawing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8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8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8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89.png"/></Relationships>
</file>

<file path=xl/drawings/_rels/drawing4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92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91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90.png"/><Relationship Id="rId5" Type="http://schemas.openxmlformats.org/officeDocument/2006/relationships/image" Target="../media/image20.png"/><Relationship Id="rId15" Type="http://schemas.openxmlformats.org/officeDocument/2006/relationships/image" Target="../media/image194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193.png"/></Relationships>
</file>

<file path=xl/drawings/_rels/drawing4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199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19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197.png"/><Relationship Id="rId5" Type="http://schemas.openxmlformats.org/officeDocument/2006/relationships/image" Target="../media/image20.png"/><Relationship Id="rId10" Type="http://schemas.openxmlformats.org/officeDocument/2006/relationships/image" Target="../media/image196.png"/><Relationship Id="rId4" Type="http://schemas.openxmlformats.org/officeDocument/2006/relationships/image" Target="../media/image19.png"/><Relationship Id="rId9" Type="http://schemas.openxmlformats.org/officeDocument/2006/relationships/image" Target="../media/image195.png"/></Relationships>
</file>

<file path=xl/drawings/_rels/drawing4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04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03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02.png"/><Relationship Id="rId5" Type="http://schemas.openxmlformats.org/officeDocument/2006/relationships/image" Target="../media/image20.png"/><Relationship Id="rId10" Type="http://schemas.openxmlformats.org/officeDocument/2006/relationships/image" Target="../media/image201.png"/><Relationship Id="rId4" Type="http://schemas.openxmlformats.org/officeDocument/2006/relationships/image" Target="../media/image19.png"/><Relationship Id="rId9" Type="http://schemas.openxmlformats.org/officeDocument/2006/relationships/image" Target="../media/image20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7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6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5.png"/><Relationship Id="rId5" Type="http://schemas.openxmlformats.org/officeDocument/2006/relationships/image" Target="../media/image20.png"/><Relationship Id="rId15" Type="http://schemas.openxmlformats.org/officeDocument/2006/relationships/image" Target="../media/image39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38.png"/></Relationships>
</file>

<file path=xl/drawings/_rels/drawing5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5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07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06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05.png"/><Relationship Id="rId5" Type="http://schemas.openxmlformats.org/officeDocument/2006/relationships/image" Target="../media/image20.png"/><Relationship Id="rId15" Type="http://schemas.openxmlformats.org/officeDocument/2006/relationships/image" Target="../media/image209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08.png"/></Relationships>
</file>

<file path=xl/drawings/_rels/drawing5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12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11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10.png"/><Relationship Id="rId5" Type="http://schemas.openxmlformats.org/officeDocument/2006/relationships/image" Target="../media/image20.png"/><Relationship Id="rId15" Type="http://schemas.openxmlformats.org/officeDocument/2006/relationships/image" Target="../media/image214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13.png"/></Relationships>
</file>

<file path=xl/drawings/_rels/drawing5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17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16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15.png"/><Relationship Id="rId5" Type="http://schemas.openxmlformats.org/officeDocument/2006/relationships/image" Target="../media/image20.png"/><Relationship Id="rId15" Type="http://schemas.openxmlformats.org/officeDocument/2006/relationships/image" Target="../media/image219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18.png"/></Relationships>
</file>

<file path=xl/drawings/_rels/drawing5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21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20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10.png"/><Relationship Id="rId5" Type="http://schemas.openxmlformats.org/officeDocument/2006/relationships/image" Target="../media/image20.png"/><Relationship Id="rId15" Type="http://schemas.openxmlformats.org/officeDocument/2006/relationships/image" Target="../media/image223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22.png"/></Relationships>
</file>

<file path=xl/drawings/_rels/drawing5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2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2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24.png"/><Relationship Id="rId5" Type="http://schemas.openxmlformats.org/officeDocument/2006/relationships/image" Target="../media/image20.png"/><Relationship Id="rId15" Type="http://schemas.openxmlformats.org/officeDocument/2006/relationships/image" Target="../media/image228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27.png"/></Relationships>
</file>

<file path=xl/drawings/_rels/drawing5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31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30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29.png"/><Relationship Id="rId5" Type="http://schemas.openxmlformats.org/officeDocument/2006/relationships/image" Target="../media/image20.png"/><Relationship Id="rId15" Type="http://schemas.openxmlformats.org/officeDocument/2006/relationships/image" Target="../media/image233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32.png"/></Relationships>
</file>

<file path=xl/drawings/_rels/drawing5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3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3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34.png"/><Relationship Id="rId5" Type="http://schemas.openxmlformats.org/officeDocument/2006/relationships/image" Target="../media/image20.png"/><Relationship Id="rId15" Type="http://schemas.openxmlformats.org/officeDocument/2006/relationships/image" Target="../media/image238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37.png"/></Relationships>
</file>

<file path=xl/drawings/_rels/drawing5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41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40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39.png"/><Relationship Id="rId5" Type="http://schemas.openxmlformats.org/officeDocument/2006/relationships/image" Target="../media/image20.png"/><Relationship Id="rId15" Type="http://schemas.openxmlformats.org/officeDocument/2006/relationships/image" Target="../media/image243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42.png"/></Relationships>
</file>

<file path=xl/drawings/_rels/drawing5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41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40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39.png"/><Relationship Id="rId5" Type="http://schemas.openxmlformats.org/officeDocument/2006/relationships/image" Target="../media/image20.png"/><Relationship Id="rId15" Type="http://schemas.openxmlformats.org/officeDocument/2006/relationships/image" Target="../media/image243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42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44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43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42.png"/><Relationship Id="rId5" Type="http://schemas.openxmlformats.org/officeDocument/2006/relationships/image" Target="../media/image20.png"/><Relationship Id="rId10" Type="http://schemas.openxmlformats.org/officeDocument/2006/relationships/image" Target="../media/image41.png"/><Relationship Id="rId4" Type="http://schemas.openxmlformats.org/officeDocument/2006/relationships/image" Target="../media/image19.png"/><Relationship Id="rId9" Type="http://schemas.openxmlformats.org/officeDocument/2006/relationships/image" Target="../media/image40.png"/></Relationships>
</file>

<file path=xl/drawings/_rels/drawing6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4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4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44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47.png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4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4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44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47.png"/></Relationships>
</file>

<file path=xl/drawings/_rels/drawing6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51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50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49.png"/><Relationship Id="rId5" Type="http://schemas.openxmlformats.org/officeDocument/2006/relationships/image" Target="../media/image20.png"/><Relationship Id="rId15" Type="http://schemas.openxmlformats.org/officeDocument/2006/relationships/image" Target="../media/image253.png"/><Relationship Id="rId10" Type="http://schemas.openxmlformats.org/officeDocument/2006/relationships/image" Target="../media/image248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52.png"/></Relationships>
</file>

<file path=xl/drawings/_rels/drawing6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5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5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54.png"/><Relationship Id="rId5" Type="http://schemas.openxmlformats.org/officeDocument/2006/relationships/image" Target="../media/image20.png"/><Relationship Id="rId15" Type="http://schemas.openxmlformats.org/officeDocument/2006/relationships/image" Target="../media/image258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57.png"/></Relationships>
</file>

<file path=xl/drawings/_rels/drawing6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6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6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1.png"/><Relationship Id="rId5" Type="http://schemas.openxmlformats.org/officeDocument/2006/relationships/image" Target="../media/image20.png"/><Relationship Id="rId10" Type="http://schemas.openxmlformats.org/officeDocument/2006/relationships/image" Target="../media/image260.png"/><Relationship Id="rId4" Type="http://schemas.openxmlformats.org/officeDocument/2006/relationships/image" Target="../media/image19.png"/><Relationship Id="rId9" Type="http://schemas.openxmlformats.org/officeDocument/2006/relationships/image" Target="../media/image259.png"/></Relationships>
</file>

<file path=xl/drawings/_rels/drawing6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264.png"/></Relationships>
</file>

<file path=xl/drawings/_rels/drawing6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265.png"/></Relationships>
</file>

<file path=xl/drawings/_rels/drawing6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6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6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6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6.png"/><Relationship Id="rId5" Type="http://schemas.openxmlformats.org/officeDocument/2006/relationships/image" Target="../media/image20.png"/><Relationship Id="rId15" Type="http://schemas.openxmlformats.org/officeDocument/2006/relationships/image" Target="../media/image27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69.pn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7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71.png"/><Relationship Id="rId5" Type="http://schemas.openxmlformats.org/officeDocument/2006/relationships/image" Target="../media/image20.png"/><Relationship Id="rId15" Type="http://schemas.openxmlformats.org/officeDocument/2006/relationships/image" Target="../media/image275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7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49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4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47.png"/><Relationship Id="rId5" Type="http://schemas.openxmlformats.org/officeDocument/2006/relationships/image" Target="../media/image20.png"/><Relationship Id="rId10" Type="http://schemas.openxmlformats.org/officeDocument/2006/relationships/image" Target="../media/image46.png"/><Relationship Id="rId4" Type="http://schemas.openxmlformats.org/officeDocument/2006/relationships/image" Target="../media/image19.png"/><Relationship Id="rId9" Type="http://schemas.openxmlformats.org/officeDocument/2006/relationships/image" Target="../media/image45.png"/></Relationships>
</file>

<file path=xl/drawings/_rels/drawing7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7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76.png"/><Relationship Id="rId5" Type="http://schemas.openxmlformats.org/officeDocument/2006/relationships/image" Target="../media/image20.png"/><Relationship Id="rId15" Type="http://schemas.openxmlformats.org/officeDocument/2006/relationships/image" Target="../media/image28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79.png"/></Relationships>
</file>

<file path=xl/drawings/_rels/drawing7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8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81.png"/><Relationship Id="rId5" Type="http://schemas.openxmlformats.org/officeDocument/2006/relationships/image" Target="../media/image20.png"/><Relationship Id="rId15" Type="http://schemas.openxmlformats.org/officeDocument/2006/relationships/image" Target="../media/image285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84.png"/></Relationships>
</file>

<file path=xl/drawings/_rels/drawing7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8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86.png"/><Relationship Id="rId5" Type="http://schemas.openxmlformats.org/officeDocument/2006/relationships/image" Target="../media/image20.png"/><Relationship Id="rId15" Type="http://schemas.openxmlformats.org/officeDocument/2006/relationships/image" Target="../media/image29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89.png"/></Relationships>
</file>

<file path=xl/drawings/_rels/drawing7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9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9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91.png"/><Relationship Id="rId5" Type="http://schemas.openxmlformats.org/officeDocument/2006/relationships/image" Target="../media/image20.png"/><Relationship Id="rId15" Type="http://schemas.openxmlformats.org/officeDocument/2006/relationships/image" Target="../media/image295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4.png"/></Relationships>
</file>

<file path=xl/drawings/_rels/drawing7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9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9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96.png"/><Relationship Id="rId5" Type="http://schemas.openxmlformats.org/officeDocument/2006/relationships/image" Target="../media/image20.png"/><Relationship Id="rId15" Type="http://schemas.openxmlformats.org/officeDocument/2006/relationships/image" Target="../media/image30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9.png"/></Relationships>
</file>

<file path=xl/drawings/_rels/drawing7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0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0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01.png"/><Relationship Id="rId5" Type="http://schemas.openxmlformats.org/officeDocument/2006/relationships/image" Target="../media/image20.png"/><Relationship Id="rId15" Type="http://schemas.openxmlformats.org/officeDocument/2006/relationships/image" Target="../media/image305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304.png"/></Relationships>
</file>

<file path=xl/drawings/_rels/drawing7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0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07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0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309.png"/></Relationships>
</file>

<file path=xl/drawings/_rels/drawing7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12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11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10.png"/><Relationship Id="rId5" Type="http://schemas.openxmlformats.org/officeDocument/2006/relationships/image" Target="../media/image20.png"/><Relationship Id="rId15" Type="http://schemas.openxmlformats.org/officeDocument/2006/relationships/image" Target="../media/image314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313.png"/></Relationships>
</file>

<file path=xl/drawings/_rels/drawing7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17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16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15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318.png"/></Relationships>
</file>

<file path=xl/drawings/_rels/drawing7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21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20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19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32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52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51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50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53.png"/></Relationships>
</file>

<file path=xl/drawings/_rels/drawing8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25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24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23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326.png"/></Relationships>
</file>

<file path=xl/drawings/_rels/drawing8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25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24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23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326.png"/></Relationships>
</file>

<file path=xl/drawings/_rels/drawing8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2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32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324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56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5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54.png"/><Relationship Id="rId5" Type="http://schemas.openxmlformats.org/officeDocument/2006/relationships/image" Target="../media/image20.png"/><Relationship Id="rId15" Type="http://schemas.openxmlformats.org/officeDocument/2006/relationships/image" Target="../media/image58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95</xdr:row>
      <xdr:rowOff>76200</xdr:rowOff>
    </xdr:from>
    <xdr:to>
      <xdr:col>1</xdr:col>
      <xdr:colOff>228600</xdr:colOff>
      <xdr:row>98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D26D1C3-E80D-404D-B022-1B48BFD37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42875" y="18602325"/>
          <a:ext cx="752475" cy="47625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44268</xdr:colOff>
      <xdr:row>14</xdr:row>
      <xdr:rowOff>70589</xdr:rowOff>
    </xdr:from>
    <xdr:to>
      <xdr:col>16</xdr:col>
      <xdr:colOff>194404</xdr:colOff>
      <xdr:row>18</xdr:row>
      <xdr:rowOff>156314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3FCF557E-7F15-4B59-B5EF-B85AE09DA9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1398068" y="2889989"/>
          <a:ext cx="2731411" cy="8477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</xdr:col>
      <xdr:colOff>819150</xdr:colOff>
      <xdr:row>101</xdr:row>
      <xdr:rowOff>133350</xdr:rowOff>
    </xdr:from>
    <xdr:to>
      <xdr:col>3</xdr:col>
      <xdr:colOff>47625</xdr:colOff>
      <xdr:row>104</xdr:row>
      <xdr:rowOff>114300</xdr:rowOff>
    </xdr:to>
    <xdr:pic>
      <xdr:nvPicPr>
        <xdr:cNvPr id="4" name="Picture 38">
          <a:extLst>
            <a:ext uri="{FF2B5EF4-FFF2-40B4-BE49-F238E27FC236}">
              <a16:creationId xmlns:a16="http://schemas.microsoft.com/office/drawing/2014/main" id="{C8E7C754-008E-4CAA-BCB0-0F641DBB8E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19792950"/>
          <a:ext cx="771525" cy="523875"/>
        </a:xfrm>
        <a:prstGeom prst="rect">
          <a:avLst/>
        </a:prstGeom>
        <a:noFill/>
      </xdr:spPr>
    </xdr:pic>
    <xdr:clientData/>
  </xdr:twoCellAnchor>
  <xdr:twoCellAnchor>
    <xdr:from>
      <xdr:col>1</xdr:col>
      <xdr:colOff>800100</xdr:colOff>
      <xdr:row>108</xdr:row>
      <xdr:rowOff>123825</xdr:rowOff>
    </xdr:from>
    <xdr:to>
      <xdr:col>4</xdr:col>
      <xdr:colOff>809625</xdr:colOff>
      <xdr:row>110</xdr:row>
      <xdr:rowOff>19050</xdr:rowOff>
    </xdr:to>
    <xdr:pic>
      <xdr:nvPicPr>
        <xdr:cNvPr id="5" name="Picture 39">
          <a:extLst>
            <a:ext uri="{FF2B5EF4-FFF2-40B4-BE49-F238E27FC236}">
              <a16:creationId xmlns:a16="http://schemas.microsoft.com/office/drawing/2014/main" id="{53785604-A5E5-488C-8680-59EF08C96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1050250"/>
          <a:ext cx="2238375" cy="257175"/>
        </a:xfrm>
        <a:prstGeom prst="rect">
          <a:avLst/>
        </a:prstGeom>
        <a:noFill/>
      </xdr:spPr>
    </xdr:pic>
    <xdr:clientData/>
  </xdr:twoCellAnchor>
  <xdr:twoCellAnchor>
    <xdr:from>
      <xdr:col>3</xdr:col>
      <xdr:colOff>257175</xdr:colOff>
      <xdr:row>102</xdr:row>
      <xdr:rowOff>142875</xdr:rowOff>
    </xdr:from>
    <xdr:to>
      <xdr:col>3</xdr:col>
      <xdr:colOff>819150</xdr:colOff>
      <xdr:row>104</xdr:row>
      <xdr:rowOff>104775</xdr:rowOff>
    </xdr:to>
    <xdr:pic>
      <xdr:nvPicPr>
        <xdr:cNvPr id="6" name="Picture 40">
          <a:extLst>
            <a:ext uri="{FF2B5EF4-FFF2-40B4-BE49-F238E27FC236}">
              <a16:creationId xmlns:a16="http://schemas.microsoft.com/office/drawing/2014/main" id="{44F692F7-33FB-4704-9A12-8A1E4B76B2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314575" y="19983450"/>
          <a:ext cx="495300" cy="32385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101</xdr:row>
      <xdr:rowOff>28575</xdr:rowOff>
    </xdr:from>
    <xdr:to>
      <xdr:col>1</xdr:col>
      <xdr:colOff>609600</xdr:colOff>
      <xdr:row>104</xdr:row>
      <xdr:rowOff>38100</xdr:rowOff>
    </xdr:to>
    <xdr:pic>
      <xdr:nvPicPr>
        <xdr:cNvPr id="7" name="Picture 41">
          <a:extLst>
            <a:ext uri="{FF2B5EF4-FFF2-40B4-BE49-F238E27FC236}">
              <a16:creationId xmlns:a16="http://schemas.microsoft.com/office/drawing/2014/main" id="{4E9AEE1B-E3DA-4F0E-901F-679E56644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19688175"/>
          <a:ext cx="1276350" cy="552450"/>
        </a:xfrm>
        <a:prstGeom prst="rect">
          <a:avLst/>
        </a:prstGeom>
        <a:noFill/>
      </xdr:spPr>
    </xdr:pic>
    <xdr:clientData/>
  </xdr:twoCellAnchor>
  <xdr:twoCellAnchor>
    <xdr:from>
      <xdr:col>0</xdr:col>
      <xdr:colOff>1</xdr:colOff>
      <xdr:row>97</xdr:row>
      <xdr:rowOff>95250</xdr:rowOff>
    </xdr:from>
    <xdr:to>
      <xdr:col>2</xdr:col>
      <xdr:colOff>704851</xdr:colOff>
      <xdr:row>101</xdr:row>
      <xdr:rowOff>89021</xdr:rowOff>
    </xdr:to>
    <xdr:pic>
      <xdr:nvPicPr>
        <xdr:cNvPr id="8" name="Picture 11">
          <a:extLst>
            <a:ext uri="{FF2B5EF4-FFF2-40B4-BE49-F238E27FC236}">
              <a16:creationId xmlns:a16="http://schemas.microsoft.com/office/drawing/2014/main" id="{3D883C9D-9DFC-4939-9D62-07B89CB9E7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" y="18983325"/>
          <a:ext cx="2038350" cy="765296"/>
        </a:xfrm>
        <a:prstGeom prst="rect">
          <a:avLst/>
        </a:prstGeom>
        <a:noFill/>
      </xdr:spPr>
    </xdr:pic>
    <xdr:clientData/>
  </xdr:twoCellAnchor>
  <xdr:twoCellAnchor>
    <xdr:from>
      <xdr:col>0</xdr:col>
      <xdr:colOff>38100</xdr:colOff>
      <xdr:row>104</xdr:row>
      <xdr:rowOff>57150</xdr:rowOff>
    </xdr:from>
    <xdr:to>
      <xdr:col>1</xdr:col>
      <xdr:colOff>0</xdr:colOff>
      <xdr:row>105</xdr:row>
      <xdr:rowOff>133350</xdr:rowOff>
    </xdr:to>
    <xdr:pic>
      <xdr:nvPicPr>
        <xdr:cNvPr id="9" name="Picture 12">
          <a:extLst>
            <a:ext uri="{FF2B5EF4-FFF2-40B4-BE49-F238E27FC236}">
              <a16:creationId xmlns:a16="http://schemas.microsoft.com/office/drawing/2014/main" id="{108F9A96-6679-4069-9C59-FDC7CE8245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38100" y="20259675"/>
          <a:ext cx="628650" cy="257175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105</xdr:row>
      <xdr:rowOff>123825</xdr:rowOff>
    </xdr:from>
    <xdr:to>
      <xdr:col>6</xdr:col>
      <xdr:colOff>171450</xdr:colOff>
      <xdr:row>108</xdr:row>
      <xdr:rowOff>19050</xdr:rowOff>
    </xdr:to>
    <xdr:pic>
      <xdr:nvPicPr>
        <xdr:cNvPr id="10" name="Picture 13">
          <a:extLst>
            <a:ext uri="{FF2B5EF4-FFF2-40B4-BE49-F238E27FC236}">
              <a16:creationId xmlns:a16="http://schemas.microsoft.com/office/drawing/2014/main" id="{6D50813A-05D3-44B1-B2EE-703D014A59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0507325"/>
          <a:ext cx="4591050" cy="43815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108</xdr:row>
      <xdr:rowOff>76200</xdr:rowOff>
    </xdr:from>
    <xdr:to>
      <xdr:col>1</xdr:col>
      <xdr:colOff>533400</xdr:colOff>
      <xdr:row>110</xdr:row>
      <xdr:rowOff>123825</xdr:rowOff>
    </xdr:to>
    <xdr:pic>
      <xdr:nvPicPr>
        <xdr:cNvPr id="11" name="Picture 14">
          <a:extLst>
            <a:ext uri="{FF2B5EF4-FFF2-40B4-BE49-F238E27FC236}">
              <a16:creationId xmlns:a16="http://schemas.microsoft.com/office/drawing/2014/main" id="{14D229B3-0EB3-42FF-AD1E-F36D44648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002625"/>
          <a:ext cx="1200150" cy="40957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46503</xdr:colOff>
      <xdr:row>2</xdr:row>
      <xdr:rowOff>52667</xdr:rowOff>
    </xdr:from>
    <xdr:to>
      <xdr:col>14</xdr:col>
      <xdr:colOff>411254</xdr:colOff>
      <xdr:row>6</xdr:row>
      <xdr:rowOff>159683</xdr:rowOff>
    </xdr:to>
    <xdr:pic>
      <xdr:nvPicPr>
        <xdr:cNvPr id="12" name="Picture 1">
          <a:extLst>
            <a:ext uri="{FF2B5EF4-FFF2-40B4-BE49-F238E27FC236}">
              <a16:creationId xmlns:a16="http://schemas.microsoft.com/office/drawing/2014/main" id="{35A43176-6EAA-4BB3-AA2A-6E70E410F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r="70353"/>
        <a:stretch>
          <a:fillRect/>
        </a:stretch>
      </xdr:blipFill>
      <xdr:spPr bwMode="auto">
        <a:xfrm>
          <a:off x="11400303" y="500342"/>
          <a:ext cx="1202951" cy="83091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30261</xdr:colOff>
      <xdr:row>8</xdr:row>
      <xdr:rowOff>67233</xdr:rowOff>
    </xdr:from>
    <xdr:to>
      <xdr:col>14</xdr:col>
      <xdr:colOff>480177</xdr:colOff>
      <xdr:row>12</xdr:row>
      <xdr:rowOff>66112</xdr:rowOff>
    </xdr:to>
    <xdr:pic>
      <xdr:nvPicPr>
        <xdr:cNvPr id="13" name="Picture 2">
          <a:extLst>
            <a:ext uri="{FF2B5EF4-FFF2-40B4-BE49-F238E27FC236}">
              <a16:creationId xmlns:a16="http://schemas.microsoft.com/office/drawing/2014/main" id="{07D24C12-BC9A-4A0E-A275-61925F2AEB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r="53925"/>
        <a:stretch>
          <a:fillRect/>
        </a:stretch>
      </xdr:blipFill>
      <xdr:spPr bwMode="auto">
        <a:xfrm>
          <a:off x="11384061" y="1667433"/>
          <a:ext cx="1288116" cy="77040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38101</xdr:colOff>
      <xdr:row>64</xdr:row>
      <xdr:rowOff>114300</xdr:rowOff>
    </xdr:from>
    <xdr:to>
      <xdr:col>6</xdr:col>
      <xdr:colOff>485215</xdr:colOff>
      <xdr:row>70</xdr:row>
      <xdr:rowOff>53139</xdr:rowOff>
    </xdr:to>
    <xdr:pic>
      <xdr:nvPicPr>
        <xdr:cNvPr id="14" name="Picture 168">
          <a:extLst>
            <a:ext uri="{FF2B5EF4-FFF2-40B4-BE49-F238E27FC236}">
              <a16:creationId xmlns:a16="http://schemas.microsoft.com/office/drawing/2014/main" id="{A5D6606A-EBA3-4D5D-B455-C75EE77248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38101" y="12763500"/>
          <a:ext cx="4866714" cy="114403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703373</xdr:colOff>
      <xdr:row>14</xdr:row>
      <xdr:rowOff>1</xdr:rowOff>
    </xdr:from>
    <xdr:to>
      <xdr:col>6</xdr:col>
      <xdr:colOff>879706</xdr:colOff>
      <xdr:row>20</xdr:row>
      <xdr:rowOff>168088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2E0D9F2-3455-4FF5-9E17-98812658B8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9819" t="37689" r="32470" b="34121"/>
        <a:stretch/>
      </xdr:blipFill>
      <xdr:spPr>
        <a:xfrm>
          <a:off x="2048079" y="2823883"/>
          <a:ext cx="3269156" cy="128867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38BD9376-B614-4711-A838-6708E2978E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58007498-D8BB-4E3A-92C9-742F80E9BA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DBD51F98-1010-42A5-9F2F-DE48454E51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B57292CB-291E-4BFD-820B-DD911EBE3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60A90289-B8C4-4954-8D75-0B160C397B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49D62FC5-580B-413D-BAAF-75F0517D6D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A7B7B84F-47A3-4443-A7CD-9C9AA58576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92D6B431-8515-49F7-BA56-73BEA43273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11</xdr:col>
      <xdr:colOff>389962</xdr:colOff>
      <xdr:row>22</xdr:row>
      <xdr:rowOff>113657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AF92B42-9674-4E90-854E-26113E75D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33160" y="0"/>
          <a:ext cx="4504762" cy="514285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11</xdr:col>
      <xdr:colOff>285200</xdr:colOff>
      <xdr:row>40</xdr:row>
      <xdr:rowOff>47133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839A694-7528-4170-B793-70CB7E546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33160" y="5257800"/>
          <a:ext cx="4400000" cy="39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41</xdr:row>
      <xdr:rowOff>0</xdr:rowOff>
    </xdr:from>
    <xdr:to>
      <xdr:col>11</xdr:col>
      <xdr:colOff>94724</xdr:colOff>
      <xdr:row>53</xdr:row>
      <xdr:rowOff>218705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F8E2C05-AF93-4F8C-8C49-1EA73E44E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9372600"/>
          <a:ext cx="4209524" cy="296190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55</xdr:row>
      <xdr:rowOff>0</xdr:rowOff>
    </xdr:from>
    <xdr:to>
      <xdr:col>11</xdr:col>
      <xdr:colOff>313771</xdr:colOff>
      <xdr:row>70</xdr:row>
      <xdr:rowOff>209095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7BCBF2D-42CF-46A2-B5A7-589C92698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12573000"/>
          <a:ext cx="4428571" cy="363809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16</xdr:col>
      <xdr:colOff>809033</xdr:colOff>
      <xdr:row>13</xdr:row>
      <xdr:rowOff>218676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3F74B0-49B3-4E8A-8A1B-B2640E06E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601450" y="0"/>
          <a:ext cx="4733333" cy="319047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DBAE73E4-21E4-4BA1-B48B-C27918A931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508D2A1C-B672-423F-8929-781A1B2469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15F558F4-0C9B-4F90-806D-469BE83666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715F96AC-FC78-486D-B183-53D77BA1AD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02606094-33BC-47E1-9A2A-3D30156EA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2CE9780C-C743-4219-989E-9704FEBE1C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0D0EA6B3-00B2-4E99-9AF4-1E8776775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C6F97DFE-F66D-4B34-88A1-71EB80ACA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3F8645AE-7C72-4D78-AF6B-E6D6FDE20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534483B9-959A-4409-B608-7D6FC1EBFD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10</xdr:col>
      <xdr:colOff>656752</xdr:colOff>
      <xdr:row>23</xdr:row>
      <xdr:rowOff>27914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24D3419-DD65-4AB8-B296-8A2B0E7BD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3780952" cy="52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91440</xdr:colOff>
      <xdr:row>22</xdr:row>
      <xdr:rowOff>129540</xdr:rowOff>
    </xdr:from>
    <xdr:to>
      <xdr:col>10</xdr:col>
      <xdr:colOff>519621</xdr:colOff>
      <xdr:row>41</xdr:row>
      <xdr:rowOff>81378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C5E58C9-BC68-4ABC-B64D-5D41FB0DB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24600" y="5158740"/>
          <a:ext cx="3552381" cy="42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44</xdr:row>
      <xdr:rowOff>0</xdr:rowOff>
    </xdr:from>
    <xdr:to>
      <xdr:col>10</xdr:col>
      <xdr:colOff>428181</xdr:colOff>
      <xdr:row>59</xdr:row>
      <xdr:rowOff>228143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CD140BA-4AFA-4312-A26F-E82954D4B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10058400"/>
          <a:ext cx="3552381" cy="3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61</xdr:row>
      <xdr:rowOff>0</xdr:rowOff>
    </xdr:from>
    <xdr:to>
      <xdr:col>10</xdr:col>
      <xdr:colOff>399609</xdr:colOff>
      <xdr:row>77</xdr:row>
      <xdr:rowOff>209067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7800207-6395-4D47-AEE3-91286BDBB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13944600"/>
          <a:ext cx="3523809" cy="38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0</xdr:row>
      <xdr:rowOff>0</xdr:rowOff>
    </xdr:from>
    <xdr:to>
      <xdr:col>10</xdr:col>
      <xdr:colOff>685327</xdr:colOff>
      <xdr:row>23</xdr:row>
      <xdr:rowOff>27914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41E14EC-D6F5-4FF2-94BF-D19C3AE54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67450" y="0"/>
          <a:ext cx="3771427" cy="528571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4D82C33E-A722-473A-9413-CC5431E18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43E1CB22-45BE-4F5D-AFD8-69BD4154C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2CD40441-28C3-4CBD-ADB7-934AC4224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D8C8D214-525C-4060-A93E-05AF77C61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4FE7C901-A594-4CA5-A673-03BBDAAF52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2607B616-0EFE-4CC7-9AF9-26C403A5AD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C564B14C-B844-4E84-8D7A-C0989D6C5B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B11D49BA-0E5D-4E10-AA6A-23B5ED97D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7EEAEAE0-10E5-4598-9367-5A96BC269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E8F20D9D-A28C-449E-B9A4-7BB6B1481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B61E9811-03ED-42C2-B629-5FC5773A9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2069CBE7-37B5-4824-A893-4E1FD33A4D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D59F307C-B459-4484-AB01-F4C7B971A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1619D579-47C2-4B39-9ABE-F283B683DB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CAD109E2-D8CD-436B-9DED-CF6DC57C1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589EE8C8-8589-4F79-A953-782596524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108D0840-CFAB-4EBC-A729-FE6215A633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0B17CA4B-2CE2-4272-AA06-1A21BAAEDB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21611F71-AB3D-4310-80C7-771CFF962D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E6143E13-581A-4BFC-A683-F9CC26DB1B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15</xdr:col>
      <xdr:colOff>408494</xdr:colOff>
      <xdr:row>10</xdr:row>
      <xdr:rowOff>171171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B9E8725-B6DF-4D77-BDE6-FEB29D7CE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8875" y="228600"/>
          <a:ext cx="8647619" cy="22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14</xdr:col>
      <xdr:colOff>865748</xdr:colOff>
      <xdr:row>21</xdr:row>
      <xdr:rowOff>161648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CBCACF0-6BFF-4588-881A-2F9E022FD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2743200"/>
          <a:ext cx="8219048" cy="221904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15</xdr:col>
      <xdr:colOff>237065</xdr:colOff>
      <xdr:row>32</xdr:row>
      <xdr:rowOff>142600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3020212-BA98-4F80-8F12-CD391C2D6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5257800"/>
          <a:ext cx="8476190" cy="22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34</xdr:row>
      <xdr:rowOff>0</xdr:rowOff>
    </xdr:from>
    <xdr:to>
      <xdr:col>15</xdr:col>
      <xdr:colOff>218018</xdr:colOff>
      <xdr:row>44</xdr:row>
      <xdr:rowOff>28286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5079100-B416-46F4-86B7-2B31B89C9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7772400"/>
          <a:ext cx="8457143" cy="231428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95</xdr:row>
      <xdr:rowOff>76200</xdr:rowOff>
    </xdr:from>
    <xdr:to>
      <xdr:col>1</xdr:col>
      <xdr:colOff>228600</xdr:colOff>
      <xdr:row>98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659AB41-C3FE-4311-A49E-DF39B93D11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42875" y="19107150"/>
          <a:ext cx="752475" cy="5048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44268</xdr:colOff>
      <xdr:row>14</xdr:row>
      <xdr:rowOff>70589</xdr:rowOff>
    </xdr:from>
    <xdr:to>
      <xdr:col>16</xdr:col>
      <xdr:colOff>194404</xdr:colOff>
      <xdr:row>18</xdr:row>
      <xdr:rowOff>156314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DF2A169C-8777-4A31-AED2-2548E91714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1398068" y="2889989"/>
          <a:ext cx="2731411" cy="8477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</xdr:col>
      <xdr:colOff>819150</xdr:colOff>
      <xdr:row>101</xdr:row>
      <xdr:rowOff>133350</xdr:rowOff>
    </xdr:from>
    <xdr:to>
      <xdr:col>3</xdr:col>
      <xdr:colOff>47625</xdr:colOff>
      <xdr:row>104</xdr:row>
      <xdr:rowOff>114300</xdr:rowOff>
    </xdr:to>
    <xdr:pic>
      <xdr:nvPicPr>
        <xdr:cNvPr id="4" name="Picture 38">
          <a:extLst>
            <a:ext uri="{FF2B5EF4-FFF2-40B4-BE49-F238E27FC236}">
              <a16:creationId xmlns:a16="http://schemas.microsoft.com/office/drawing/2014/main" id="{3EE2E68A-B9B8-4164-8497-29C865A99E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0345400"/>
          <a:ext cx="771525" cy="552450"/>
        </a:xfrm>
        <a:prstGeom prst="rect">
          <a:avLst/>
        </a:prstGeom>
        <a:noFill/>
      </xdr:spPr>
    </xdr:pic>
    <xdr:clientData/>
  </xdr:twoCellAnchor>
  <xdr:twoCellAnchor>
    <xdr:from>
      <xdr:col>1</xdr:col>
      <xdr:colOff>800100</xdr:colOff>
      <xdr:row>108</xdr:row>
      <xdr:rowOff>123825</xdr:rowOff>
    </xdr:from>
    <xdr:to>
      <xdr:col>4</xdr:col>
      <xdr:colOff>809625</xdr:colOff>
      <xdr:row>110</xdr:row>
      <xdr:rowOff>19050</xdr:rowOff>
    </xdr:to>
    <xdr:pic>
      <xdr:nvPicPr>
        <xdr:cNvPr id="5" name="Picture 39">
          <a:extLst>
            <a:ext uri="{FF2B5EF4-FFF2-40B4-BE49-F238E27FC236}">
              <a16:creationId xmlns:a16="http://schemas.microsoft.com/office/drawing/2014/main" id="{9CDF9971-0D7B-4984-AF1E-E296CC6C49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1669375"/>
          <a:ext cx="2238375" cy="276225"/>
        </a:xfrm>
        <a:prstGeom prst="rect">
          <a:avLst/>
        </a:prstGeom>
        <a:noFill/>
      </xdr:spPr>
    </xdr:pic>
    <xdr:clientData/>
  </xdr:twoCellAnchor>
  <xdr:twoCellAnchor>
    <xdr:from>
      <xdr:col>3</xdr:col>
      <xdr:colOff>257175</xdr:colOff>
      <xdr:row>102</xdr:row>
      <xdr:rowOff>142875</xdr:rowOff>
    </xdr:from>
    <xdr:to>
      <xdr:col>3</xdr:col>
      <xdr:colOff>819150</xdr:colOff>
      <xdr:row>104</xdr:row>
      <xdr:rowOff>104775</xdr:rowOff>
    </xdr:to>
    <xdr:pic>
      <xdr:nvPicPr>
        <xdr:cNvPr id="6" name="Picture 40">
          <a:extLst>
            <a:ext uri="{FF2B5EF4-FFF2-40B4-BE49-F238E27FC236}">
              <a16:creationId xmlns:a16="http://schemas.microsoft.com/office/drawing/2014/main" id="{945B2EBE-85E6-4D34-AC96-9D3F841DC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314575" y="20545425"/>
          <a:ext cx="495300" cy="3429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101</xdr:row>
      <xdr:rowOff>28575</xdr:rowOff>
    </xdr:from>
    <xdr:to>
      <xdr:col>1</xdr:col>
      <xdr:colOff>609600</xdr:colOff>
      <xdr:row>104</xdr:row>
      <xdr:rowOff>38100</xdr:rowOff>
    </xdr:to>
    <xdr:pic>
      <xdr:nvPicPr>
        <xdr:cNvPr id="7" name="Picture 41">
          <a:extLst>
            <a:ext uri="{FF2B5EF4-FFF2-40B4-BE49-F238E27FC236}">
              <a16:creationId xmlns:a16="http://schemas.microsoft.com/office/drawing/2014/main" id="{1AD48F03-588B-41B4-83A8-5E1444660C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0240625"/>
          <a:ext cx="1276350" cy="5810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1</xdr:colOff>
      <xdr:row>97</xdr:row>
      <xdr:rowOff>95250</xdr:rowOff>
    </xdr:from>
    <xdr:to>
      <xdr:col>2</xdr:col>
      <xdr:colOff>704851</xdr:colOff>
      <xdr:row>101</xdr:row>
      <xdr:rowOff>89021</xdr:rowOff>
    </xdr:to>
    <xdr:pic>
      <xdr:nvPicPr>
        <xdr:cNvPr id="8" name="Picture 11">
          <a:extLst>
            <a:ext uri="{FF2B5EF4-FFF2-40B4-BE49-F238E27FC236}">
              <a16:creationId xmlns:a16="http://schemas.microsoft.com/office/drawing/2014/main" id="{5C5F9695-F0E8-4CC7-A568-01F10D0186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" y="19507200"/>
          <a:ext cx="2038350" cy="793871"/>
        </a:xfrm>
        <a:prstGeom prst="rect">
          <a:avLst/>
        </a:prstGeom>
        <a:noFill/>
      </xdr:spPr>
    </xdr:pic>
    <xdr:clientData/>
  </xdr:twoCellAnchor>
  <xdr:twoCellAnchor>
    <xdr:from>
      <xdr:col>0</xdr:col>
      <xdr:colOff>38100</xdr:colOff>
      <xdr:row>104</xdr:row>
      <xdr:rowOff>57150</xdr:rowOff>
    </xdr:from>
    <xdr:to>
      <xdr:col>1</xdr:col>
      <xdr:colOff>0</xdr:colOff>
      <xdr:row>105</xdr:row>
      <xdr:rowOff>133350</xdr:rowOff>
    </xdr:to>
    <xdr:pic>
      <xdr:nvPicPr>
        <xdr:cNvPr id="9" name="Picture 12">
          <a:extLst>
            <a:ext uri="{FF2B5EF4-FFF2-40B4-BE49-F238E27FC236}">
              <a16:creationId xmlns:a16="http://schemas.microsoft.com/office/drawing/2014/main" id="{08385E3A-81B6-4700-A214-80C6428B33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38100" y="20840700"/>
          <a:ext cx="628650" cy="2667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105</xdr:row>
      <xdr:rowOff>123825</xdr:rowOff>
    </xdr:from>
    <xdr:to>
      <xdr:col>6</xdr:col>
      <xdr:colOff>171450</xdr:colOff>
      <xdr:row>108</xdr:row>
      <xdr:rowOff>19050</xdr:rowOff>
    </xdr:to>
    <xdr:pic>
      <xdr:nvPicPr>
        <xdr:cNvPr id="10" name="Picture 13">
          <a:extLst>
            <a:ext uri="{FF2B5EF4-FFF2-40B4-BE49-F238E27FC236}">
              <a16:creationId xmlns:a16="http://schemas.microsoft.com/office/drawing/2014/main" id="{8934272A-5DFC-457D-A279-B6F2963B3C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097875"/>
          <a:ext cx="4591050" cy="4667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108</xdr:row>
      <xdr:rowOff>76200</xdr:rowOff>
    </xdr:from>
    <xdr:to>
      <xdr:col>1</xdr:col>
      <xdr:colOff>533400</xdr:colOff>
      <xdr:row>110</xdr:row>
      <xdr:rowOff>123825</xdr:rowOff>
    </xdr:to>
    <xdr:pic>
      <xdr:nvPicPr>
        <xdr:cNvPr id="11" name="Picture 14">
          <a:extLst>
            <a:ext uri="{FF2B5EF4-FFF2-40B4-BE49-F238E27FC236}">
              <a16:creationId xmlns:a16="http://schemas.microsoft.com/office/drawing/2014/main" id="{481F6502-4241-479B-B3AA-A7EC9CCC2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621750"/>
          <a:ext cx="1200150" cy="4286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46503</xdr:colOff>
      <xdr:row>2</xdr:row>
      <xdr:rowOff>52667</xdr:rowOff>
    </xdr:from>
    <xdr:to>
      <xdr:col>14</xdr:col>
      <xdr:colOff>411254</xdr:colOff>
      <xdr:row>6</xdr:row>
      <xdr:rowOff>159683</xdr:rowOff>
    </xdr:to>
    <xdr:pic>
      <xdr:nvPicPr>
        <xdr:cNvPr id="12" name="Picture 1">
          <a:extLst>
            <a:ext uri="{FF2B5EF4-FFF2-40B4-BE49-F238E27FC236}">
              <a16:creationId xmlns:a16="http://schemas.microsoft.com/office/drawing/2014/main" id="{94198B11-793E-457F-A3BF-EB46F65087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r="70353"/>
        <a:stretch>
          <a:fillRect/>
        </a:stretch>
      </xdr:blipFill>
      <xdr:spPr bwMode="auto">
        <a:xfrm>
          <a:off x="11400303" y="500342"/>
          <a:ext cx="1202951" cy="83091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30261</xdr:colOff>
      <xdr:row>8</xdr:row>
      <xdr:rowOff>67233</xdr:rowOff>
    </xdr:from>
    <xdr:to>
      <xdr:col>14</xdr:col>
      <xdr:colOff>480177</xdr:colOff>
      <xdr:row>12</xdr:row>
      <xdr:rowOff>66112</xdr:rowOff>
    </xdr:to>
    <xdr:pic>
      <xdr:nvPicPr>
        <xdr:cNvPr id="13" name="Picture 2">
          <a:extLst>
            <a:ext uri="{FF2B5EF4-FFF2-40B4-BE49-F238E27FC236}">
              <a16:creationId xmlns:a16="http://schemas.microsoft.com/office/drawing/2014/main" id="{AE2DAD14-B93F-446B-83FF-72ADDAEC8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r="53925"/>
        <a:stretch>
          <a:fillRect/>
        </a:stretch>
      </xdr:blipFill>
      <xdr:spPr bwMode="auto">
        <a:xfrm>
          <a:off x="11384061" y="1667433"/>
          <a:ext cx="1288116" cy="77040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38101</xdr:colOff>
      <xdr:row>64</xdr:row>
      <xdr:rowOff>114300</xdr:rowOff>
    </xdr:from>
    <xdr:to>
      <xdr:col>6</xdr:col>
      <xdr:colOff>485215</xdr:colOff>
      <xdr:row>70</xdr:row>
      <xdr:rowOff>53139</xdr:rowOff>
    </xdr:to>
    <xdr:pic>
      <xdr:nvPicPr>
        <xdr:cNvPr id="14" name="Picture 168">
          <a:extLst>
            <a:ext uri="{FF2B5EF4-FFF2-40B4-BE49-F238E27FC236}">
              <a16:creationId xmlns:a16="http://schemas.microsoft.com/office/drawing/2014/main" id="{4E81C58D-5F49-4B17-BC56-AE5F7E2DF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38101" y="13049250"/>
          <a:ext cx="4866714" cy="11389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</xdr:colOff>
      <xdr:row>14</xdr:row>
      <xdr:rowOff>1</xdr:rowOff>
    </xdr:from>
    <xdr:to>
      <xdr:col>6</xdr:col>
      <xdr:colOff>862853</xdr:colOff>
      <xdr:row>20</xdr:row>
      <xdr:rowOff>67236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0D065E3-7D2B-454D-8D4C-603A5609C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73089" y="2823883"/>
          <a:ext cx="3227293" cy="118782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A34204AD-74E9-41AF-BC5B-0378F7EB21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67960C25-E212-46AB-B7A9-A817A5F7C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2632DAE6-E74C-4DCA-BF84-B62FB55F03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2101F145-7339-4683-AE5C-740BA3515B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DC0C0B19-BD5A-44D5-ADC1-68EDEB7005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E758996C-4EDC-45EB-ACB4-9E4CBE249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61717261-CE1C-42C6-989E-ED82C1724E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E99C5AE2-B073-4668-BC7C-D8B449AEB6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70CEA712-882E-409C-8F80-5125B4012B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D924EF5B-5233-4CF2-B10E-D32E0DD05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12</xdr:col>
      <xdr:colOff>113625</xdr:colOff>
      <xdr:row>9</xdr:row>
      <xdr:rowOff>152238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A2D5E04-C16C-4979-829D-3911EFF3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8875" y="914400"/>
          <a:ext cx="5400000" cy="12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0</xdr:rowOff>
    </xdr:from>
    <xdr:to>
      <xdr:col>11</xdr:col>
      <xdr:colOff>1170915</xdr:colOff>
      <xdr:row>16</xdr:row>
      <xdr:rowOff>161762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909D489-A027-4E1A-8BEB-058FD39E4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2514600"/>
          <a:ext cx="5276190" cy="13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11</xdr:col>
      <xdr:colOff>1142344</xdr:colOff>
      <xdr:row>25</xdr:row>
      <xdr:rowOff>171229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978461D-4A05-4B2A-BA71-F8A8D01EE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4114800"/>
          <a:ext cx="5247619" cy="1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11</xdr:col>
      <xdr:colOff>1180439</xdr:colOff>
      <xdr:row>31</xdr:row>
      <xdr:rowOff>37952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C35B3CB-F2F5-4A98-BBE7-7A91ED4EB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5943600"/>
          <a:ext cx="5285714" cy="1180952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777F990D-B662-4C5C-8B98-25C38397A6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8AD1A8D4-6DBB-46A3-BBB1-2DDB4529CB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0076195C-13D4-46D6-AF1B-8FBE366EAF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15B57C9-3E01-4BA7-AB26-DD0DCD8E85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A5BD276C-5D8E-424D-9F6E-B1118F1654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F7F7B8C9-12DA-457E-B3E9-7E62CD7211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5F6B7A65-2848-4A43-A71D-E5E6ED2C3F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D23E17C5-11E1-46E7-B32C-939DCBE3AD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1A881F73-24C1-4C80-AC61-6A944908E1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D8AAED05-9C14-479A-92DD-0D09D3C58A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113A1696-0D5F-4D32-8F1C-E4FA57A7D4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6221D4BF-92CF-4233-A696-E653BAA842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FF4AEE41-E2F9-4850-BE7C-1808539B61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29128EB3-BA26-4A38-BF16-749A9632C4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090AB0AE-2FCE-4F4B-A4FC-3656896A7D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767A1491-4F11-4D76-83B2-85C4F8D10B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7CF5350C-5E05-480C-B103-6F91056BD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55E2CCB-BF37-4893-9DD6-A6247975B8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690B36AE-A8D6-4E08-87B7-B4322EF535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95D02043-123B-43BD-A3B5-01BDBE12B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16</xdr:col>
      <xdr:colOff>227419</xdr:colOff>
      <xdr:row>7</xdr:row>
      <xdr:rowOff>28371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AFC0681-0570-47B2-B65E-DE91197B0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9447619" cy="1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16</xdr:col>
      <xdr:colOff>65514</xdr:colOff>
      <xdr:row>14</xdr:row>
      <xdr:rowOff>66524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C1EB6E-2A0E-4BD7-A877-BF6FB5C44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2057400"/>
          <a:ext cx="9285714" cy="12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15</xdr:col>
      <xdr:colOff>621827</xdr:colOff>
      <xdr:row>19</xdr:row>
      <xdr:rowOff>57029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A0C7D1E-9D8D-41F6-A77A-AAFA35363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3429000"/>
          <a:ext cx="8866667" cy="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16</xdr:col>
      <xdr:colOff>236943</xdr:colOff>
      <xdr:row>25</xdr:row>
      <xdr:rowOff>114143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9411851-7C55-4373-8BD3-CA21B2150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4572000"/>
          <a:ext cx="9457143" cy="125714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E0884E94-7BD5-43E0-9C57-0D36A825AE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B82FD168-F67B-4781-826B-6CC4B06976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F55BAA14-8357-4CE7-A669-5E21329B8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7298D62C-06BB-487A-AC8B-2507D447BA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3F2BAB87-4893-4113-8504-3DE12F78C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71A9FAF5-FDCE-4A8E-91D5-7D7418C2C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40812DFD-5DA2-4337-98B0-30FE7894D7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1776C33C-FA18-4FC8-98FA-989A77235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15</xdr:col>
      <xdr:colOff>618087</xdr:colOff>
      <xdr:row>8</xdr:row>
      <xdr:rowOff>37867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8F3948D-F421-4723-8F32-F6D1661A9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19775" y="0"/>
          <a:ext cx="8304762" cy="18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15</xdr:col>
      <xdr:colOff>503801</xdr:colOff>
      <xdr:row>16</xdr:row>
      <xdr:rowOff>114086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0C4887-9C6B-4FD0-A508-B9ADE0055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819775" y="2057400"/>
          <a:ext cx="8190476" cy="17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15</xdr:col>
      <xdr:colOff>437134</xdr:colOff>
      <xdr:row>23</xdr:row>
      <xdr:rowOff>9352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22D26E3-CF1B-4B03-88FA-6C8895E88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19775" y="3886200"/>
          <a:ext cx="8123809" cy="1380952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24</xdr:row>
      <xdr:rowOff>0</xdr:rowOff>
    </xdr:from>
    <xdr:to>
      <xdr:col>15</xdr:col>
      <xdr:colOff>770469</xdr:colOff>
      <xdr:row>33</xdr:row>
      <xdr:rowOff>66410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BFF0B6C-BCDE-4A1D-B074-31BD7ADC2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29300" y="5486400"/>
          <a:ext cx="8447619" cy="212381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0</xdr:row>
      <xdr:rowOff>0</xdr:rowOff>
    </xdr:from>
    <xdr:to>
      <xdr:col>23</xdr:col>
      <xdr:colOff>38424</xdr:colOff>
      <xdr:row>13</xdr:row>
      <xdr:rowOff>138145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47520B9-FD2A-4759-8DF8-3480CBBE0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711055" y="0"/>
          <a:ext cx="4333333" cy="32000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2074442C-1AA9-4B3F-B522-72DF19BF9E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796EED1C-0404-4C08-8570-2CE49A029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E18FDC30-2BE9-452C-A2E2-3C3F5AEF1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4929FD6A-807E-4CA9-9CDD-B2263ACF83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7D4E5024-DA2C-478F-A9EF-7C98D2BF1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6192DE8F-F10B-45E4-9044-C600D149AD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83BAA924-5F61-4894-97AB-92E23E1A39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6FF1240-ECD7-40CA-B9D2-13BD560ECD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3CE38371-D1D8-472F-85E6-D5293EDC45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DF05AAD6-7D8A-4628-8679-11A0AE5A85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15</xdr:col>
      <xdr:colOff>215295</xdr:colOff>
      <xdr:row>9</xdr:row>
      <xdr:rowOff>171200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9E45CF0-A509-4718-BCC1-1E3EAE8F7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7514" y="228600"/>
          <a:ext cx="8466667" cy="20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0</xdr:rowOff>
    </xdr:from>
    <xdr:to>
      <xdr:col>15</xdr:col>
      <xdr:colOff>158152</xdr:colOff>
      <xdr:row>17</xdr:row>
      <xdr:rowOff>152210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1B4533D-C14A-49B7-A1CC-683F88602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7514" y="2514600"/>
          <a:ext cx="8409524" cy="15238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15</xdr:col>
      <xdr:colOff>234342</xdr:colOff>
      <xdr:row>22</xdr:row>
      <xdr:rowOff>133219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9D0357D-E077-4FBA-B899-8EE115DBF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7514" y="4114800"/>
          <a:ext cx="8485714" cy="10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15</xdr:col>
      <xdr:colOff>443866</xdr:colOff>
      <xdr:row>30</xdr:row>
      <xdr:rowOff>9352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8A084D4-F323-4858-9A5B-F73495FE4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7514" y="5486400"/>
          <a:ext cx="8695238" cy="13809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95</xdr:row>
      <xdr:rowOff>76200</xdr:rowOff>
    </xdr:from>
    <xdr:to>
      <xdr:col>1</xdr:col>
      <xdr:colOff>228600</xdr:colOff>
      <xdr:row>98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E18108-2C56-4B79-9895-414207B3C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42875" y="19107150"/>
          <a:ext cx="752475" cy="5048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44268</xdr:colOff>
      <xdr:row>14</xdr:row>
      <xdr:rowOff>70589</xdr:rowOff>
    </xdr:from>
    <xdr:to>
      <xdr:col>16</xdr:col>
      <xdr:colOff>194404</xdr:colOff>
      <xdr:row>18</xdr:row>
      <xdr:rowOff>156314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2AB57F80-2E47-4777-9A5E-4A64ADFC59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1398068" y="2889989"/>
          <a:ext cx="2731411" cy="8477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</xdr:col>
      <xdr:colOff>819150</xdr:colOff>
      <xdr:row>101</xdr:row>
      <xdr:rowOff>133350</xdr:rowOff>
    </xdr:from>
    <xdr:to>
      <xdr:col>3</xdr:col>
      <xdr:colOff>47625</xdr:colOff>
      <xdr:row>104</xdr:row>
      <xdr:rowOff>114300</xdr:rowOff>
    </xdr:to>
    <xdr:pic>
      <xdr:nvPicPr>
        <xdr:cNvPr id="4" name="Picture 38">
          <a:extLst>
            <a:ext uri="{FF2B5EF4-FFF2-40B4-BE49-F238E27FC236}">
              <a16:creationId xmlns:a16="http://schemas.microsoft.com/office/drawing/2014/main" id="{684480A3-3802-4BF7-A08F-25899F49B1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0345400"/>
          <a:ext cx="771525" cy="552450"/>
        </a:xfrm>
        <a:prstGeom prst="rect">
          <a:avLst/>
        </a:prstGeom>
        <a:noFill/>
      </xdr:spPr>
    </xdr:pic>
    <xdr:clientData/>
  </xdr:twoCellAnchor>
  <xdr:twoCellAnchor>
    <xdr:from>
      <xdr:col>1</xdr:col>
      <xdr:colOff>800100</xdr:colOff>
      <xdr:row>108</xdr:row>
      <xdr:rowOff>123825</xdr:rowOff>
    </xdr:from>
    <xdr:to>
      <xdr:col>4</xdr:col>
      <xdr:colOff>809625</xdr:colOff>
      <xdr:row>110</xdr:row>
      <xdr:rowOff>19050</xdr:rowOff>
    </xdr:to>
    <xdr:pic>
      <xdr:nvPicPr>
        <xdr:cNvPr id="5" name="Picture 39">
          <a:extLst>
            <a:ext uri="{FF2B5EF4-FFF2-40B4-BE49-F238E27FC236}">
              <a16:creationId xmlns:a16="http://schemas.microsoft.com/office/drawing/2014/main" id="{2751861E-2655-4A21-BA31-2C5A295D93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1669375"/>
          <a:ext cx="2238375" cy="276225"/>
        </a:xfrm>
        <a:prstGeom prst="rect">
          <a:avLst/>
        </a:prstGeom>
        <a:noFill/>
      </xdr:spPr>
    </xdr:pic>
    <xdr:clientData/>
  </xdr:twoCellAnchor>
  <xdr:twoCellAnchor>
    <xdr:from>
      <xdr:col>3</xdr:col>
      <xdr:colOff>257175</xdr:colOff>
      <xdr:row>102</xdr:row>
      <xdr:rowOff>142875</xdr:rowOff>
    </xdr:from>
    <xdr:to>
      <xdr:col>3</xdr:col>
      <xdr:colOff>819150</xdr:colOff>
      <xdr:row>104</xdr:row>
      <xdr:rowOff>104775</xdr:rowOff>
    </xdr:to>
    <xdr:pic>
      <xdr:nvPicPr>
        <xdr:cNvPr id="6" name="Picture 40">
          <a:extLst>
            <a:ext uri="{FF2B5EF4-FFF2-40B4-BE49-F238E27FC236}">
              <a16:creationId xmlns:a16="http://schemas.microsoft.com/office/drawing/2014/main" id="{8C27E26F-8305-485C-A82E-21099E47C8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314575" y="20545425"/>
          <a:ext cx="495300" cy="3429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101</xdr:row>
      <xdr:rowOff>28575</xdr:rowOff>
    </xdr:from>
    <xdr:to>
      <xdr:col>1</xdr:col>
      <xdr:colOff>609600</xdr:colOff>
      <xdr:row>104</xdr:row>
      <xdr:rowOff>38100</xdr:rowOff>
    </xdr:to>
    <xdr:pic>
      <xdr:nvPicPr>
        <xdr:cNvPr id="7" name="Picture 41">
          <a:extLst>
            <a:ext uri="{FF2B5EF4-FFF2-40B4-BE49-F238E27FC236}">
              <a16:creationId xmlns:a16="http://schemas.microsoft.com/office/drawing/2014/main" id="{E0CF458D-2B1F-462C-BEBA-AB4D2D3CB6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0240625"/>
          <a:ext cx="1276350" cy="5810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1</xdr:colOff>
      <xdr:row>97</xdr:row>
      <xdr:rowOff>95250</xdr:rowOff>
    </xdr:from>
    <xdr:to>
      <xdr:col>2</xdr:col>
      <xdr:colOff>704851</xdr:colOff>
      <xdr:row>101</xdr:row>
      <xdr:rowOff>89021</xdr:rowOff>
    </xdr:to>
    <xdr:pic>
      <xdr:nvPicPr>
        <xdr:cNvPr id="8" name="Picture 11">
          <a:extLst>
            <a:ext uri="{FF2B5EF4-FFF2-40B4-BE49-F238E27FC236}">
              <a16:creationId xmlns:a16="http://schemas.microsoft.com/office/drawing/2014/main" id="{3B5ADE8B-6FD1-460E-836B-F8B7BD9EC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" y="19507200"/>
          <a:ext cx="2038350" cy="793871"/>
        </a:xfrm>
        <a:prstGeom prst="rect">
          <a:avLst/>
        </a:prstGeom>
        <a:noFill/>
      </xdr:spPr>
    </xdr:pic>
    <xdr:clientData/>
  </xdr:twoCellAnchor>
  <xdr:twoCellAnchor>
    <xdr:from>
      <xdr:col>0</xdr:col>
      <xdr:colOff>38100</xdr:colOff>
      <xdr:row>104</xdr:row>
      <xdr:rowOff>57150</xdr:rowOff>
    </xdr:from>
    <xdr:to>
      <xdr:col>1</xdr:col>
      <xdr:colOff>0</xdr:colOff>
      <xdr:row>105</xdr:row>
      <xdr:rowOff>133350</xdr:rowOff>
    </xdr:to>
    <xdr:pic>
      <xdr:nvPicPr>
        <xdr:cNvPr id="9" name="Picture 12">
          <a:extLst>
            <a:ext uri="{FF2B5EF4-FFF2-40B4-BE49-F238E27FC236}">
              <a16:creationId xmlns:a16="http://schemas.microsoft.com/office/drawing/2014/main" id="{4034CE3D-9E91-4E64-BC41-DD9D55E36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38100" y="20840700"/>
          <a:ext cx="628650" cy="2667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105</xdr:row>
      <xdr:rowOff>123825</xdr:rowOff>
    </xdr:from>
    <xdr:to>
      <xdr:col>6</xdr:col>
      <xdr:colOff>171450</xdr:colOff>
      <xdr:row>108</xdr:row>
      <xdr:rowOff>19050</xdr:rowOff>
    </xdr:to>
    <xdr:pic>
      <xdr:nvPicPr>
        <xdr:cNvPr id="10" name="Picture 13">
          <a:extLst>
            <a:ext uri="{FF2B5EF4-FFF2-40B4-BE49-F238E27FC236}">
              <a16:creationId xmlns:a16="http://schemas.microsoft.com/office/drawing/2014/main" id="{34821DE2-4945-44A7-970D-AB42B70E74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097875"/>
          <a:ext cx="4591050" cy="4667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108</xdr:row>
      <xdr:rowOff>76200</xdr:rowOff>
    </xdr:from>
    <xdr:to>
      <xdr:col>1</xdr:col>
      <xdr:colOff>533400</xdr:colOff>
      <xdr:row>110</xdr:row>
      <xdr:rowOff>123825</xdr:rowOff>
    </xdr:to>
    <xdr:pic>
      <xdr:nvPicPr>
        <xdr:cNvPr id="11" name="Picture 14">
          <a:extLst>
            <a:ext uri="{FF2B5EF4-FFF2-40B4-BE49-F238E27FC236}">
              <a16:creationId xmlns:a16="http://schemas.microsoft.com/office/drawing/2014/main" id="{517883F5-42BE-490C-A675-86E355EEB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621750"/>
          <a:ext cx="1200150" cy="4286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46503</xdr:colOff>
      <xdr:row>2</xdr:row>
      <xdr:rowOff>52667</xdr:rowOff>
    </xdr:from>
    <xdr:to>
      <xdr:col>14</xdr:col>
      <xdr:colOff>411254</xdr:colOff>
      <xdr:row>6</xdr:row>
      <xdr:rowOff>159683</xdr:rowOff>
    </xdr:to>
    <xdr:pic>
      <xdr:nvPicPr>
        <xdr:cNvPr id="12" name="Picture 1">
          <a:extLst>
            <a:ext uri="{FF2B5EF4-FFF2-40B4-BE49-F238E27FC236}">
              <a16:creationId xmlns:a16="http://schemas.microsoft.com/office/drawing/2014/main" id="{46215CBF-4E89-4031-BE71-7BE831C5A3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r="70353"/>
        <a:stretch>
          <a:fillRect/>
        </a:stretch>
      </xdr:blipFill>
      <xdr:spPr bwMode="auto">
        <a:xfrm>
          <a:off x="11400303" y="500342"/>
          <a:ext cx="1202951" cy="83091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30261</xdr:colOff>
      <xdr:row>8</xdr:row>
      <xdr:rowOff>67233</xdr:rowOff>
    </xdr:from>
    <xdr:to>
      <xdr:col>14</xdr:col>
      <xdr:colOff>480177</xdr:colOff>
      <xdr:row>12</xdr:row>
      <xdr:rowOff>66112</xdr:rowOff>
    </xdr:to>
    <xdr:pic>
      <xdr:nvPicPr>
        <xdr:cNvPr id="13" name="Picture 2">
          <a:extLst>
            <a:ext uri="{FF2B5EF4-FFF2-40B4-BE49-F238E27FC236}">
              <a16:creationId xmlns:a16="http://schemas.microsoft.com/office/drawing/2014/main" id="{9C941639-2424-4CD2-8B6D-C63BB8F4B2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r="53925"/>
        <a:stretch>
          <a:fillRect/>
        </a:stretch>
      </xdr:blipFill>
      <xdr:spPr bwMode="auto">
        <a:xfrm>
          <a:off x="11384061" y="1667433"/>
          <a:ext cx="1288116" cy="77040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38101</xdr:colOff>
      <xdr:row>64</xdr:row>
      <xdr:rowOff>114300</xdr:rowOff>
    </xdr:from>
    <xdr:to>
      <xdr:col>6</xdr:col>
      <xdr:colOff>485215</xdr:colOff>
      <xdr:row>70</xdr:row>
      <xdr:rowOff>53139</xdr:rowOff>
    </xdr:to>
    <xdr:pic>
      <xdr:nvPicPr>
        <xdr:cNvPr id="14" name="Picture 168">
          <a:extLst>
            <a:ext uri="{FF2B5EF4-FFF2-40B4-BE49-F238E27FC236}">
              <a16:creationId xmlns:a16="http://schemas.microsoft.com/office/drawing/2014/main" id="{2276D7EE-76E1-4718-8C9F-7337CF94D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38101" y="13049250"/>
          <a:ext cx="4866714" cy="11389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91749</xdr:colOff>
      <xdr:row>14</xdr:row>
      <xdr:rowOff>48535</xdr:rowOff>
    </xdr:from>
    <xdr:to>
      <xdr:col>6</xdr:col>
      <xdr:colOff>795618</xdr:colOff>
      <xdr:row>19</xdr:row>
      <xdr:rowOff>145677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EF9FD01-D469-410A-A60E-DF7A0A3A72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27736" t="32786" r="35657" b="42701"/>
        <a:stretch/>
      </xdr:blipFill>
      <xdr:spPr>
        <a:xfrm>
          <a:off x="2164837" y="2872417"/>
          <a:ext cx="3068310" cy="1038436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A9096C31-ADF6-4F7A-A343-0428255CEB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D9B2364E-AEDC-4B8F-A8A1-BA249D7F26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2FBC1319-69E1-486B-9D67-2500A3002F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261E7C09-140B-48A8-A938-8F3DB5DEEA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9880DEBE-9A4C-40E1-8894-8A670DBD73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CFE1E250-CEED-4C83-809D-9ABC31612B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87FDBB89-50E1-4BE5-A6BD-76B09B49CF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75D39190-AE6C-4A58-AAAC-91AFDAB77D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715DEFB8-7037-43E5-8B68-DDAA1352A3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F75DEAAE-49E8-431C-8A14-0FD5CED001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15</xdr:col>
      <xdr:colOff>81961</xdr:colOff>
      <xdr:row>7</xdr:row>
      <xdr:rowOff>75990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4335F40-6764-4018-83BD-D95B47984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7514" y="0"/>
          <a:ext cx="8333333" cy="16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14</xdr:col>
      <xdr:colOff>707924</xdr:colOff>
      <xdr:row>13</xdr:row>
      <xdr:rowOff>66524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CF937B-A266-4E06-8647-504CE8ACA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7514" y="1828800"/>
          <a:ext cx="8066667" cy="12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15</xdr:col>
      <xdr:colOff>510533</xdr:colOff>
      <xdr:row>18</xdr:row>
      <xdr:rowOff>114171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73BAEE-3A58-4198-86A1-47003DA0D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7514" y="3200400"/>
          <a:ext cx="8761905" cy="10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576943</xdr:colOff>
      <xdr:row>19</xdr:row>
      <xdr:rowOff>108858</xdr:rowOff>
    </xdr:from>
    <xdr:to>
      <xdr:col>15</xdr:col>
      <xdr:colOff>344619</xdr:colOff>
      <xdr:row>24</xdr:row>
      <xdr:rowOff>213477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BBF15E1-1D58-4E11-9BD3-EF392F2C8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14457" y="4452258"/>
          <a:ext cx="8019048" cy="124761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B3A2565-B0BA-45B4-991F-C8C77E32FC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0E10EEFC-FF3C-45D0-8AD5-0AE5F36F1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736BED06-673D-48D2-B707-8F9E42FDDD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0785E48-DB80-460B-97CB-8DC803BE4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2249BFCD-ACCC-477C-8447-783732ADEF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3F7621E7-1C58-4FA0-BC5C-D4CA53471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DAEA7B0A-4059-47CF-87B8-F189135418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19FC9124-5CFF-4BC4-9958-AAF2D6078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C9D5376D-EBB2-417C-B31A-B0F877B0A3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1475BBA3-B986-4CA3-8D70-944FD424CE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16</xdr:col>
      <xdr:colOff>256068</xdr:colOff>
      <xdr:row>8</xdr:row>
      <xdr:rowOff>47390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487D7D4-B2B1-4887-B4D4-B39511599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19775" y="0"/>
          <a:ext cx="8857143" cy="18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16</xdr:col>
      <xdr:colOff>313211</xdr:colOff>
      <xdr:row>16</xdr:row>
      <xdr:rowOff>104562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F2C8AE2-5705-4581-AE21-8864F4365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19775" y="2057400"/>
          <a:ext cx="8914286" cy="17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16</xdr:col>
      <xdr:colOff>522734</xdr:colOff>
      <xdr:row>23</xdr:row>
      <xdr:rowOff>95067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B06B22-30A3-4210-AB13-49757E33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19775" y="3886200"/>
          <a:ext cx="9123809" cy="14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16</xdr:col>
      <xdr:colOff>360830</xdr:colOff>
      <xdr:row>31</xdr:row>
      <xdr:rowOff>171229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0701D30-20F8-4B91-9A5F-E0F4668C9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19775" y="5486400"/>
          <a:ext cx="8961905" cy="177142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1BF492B-9D07-4CB2-86F5-0C1A28847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BF7FBEDA-1792-478D-ABB8-D505BD16ED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63643C22-8280-4E19-9B7E-0A2A85D362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34FC883D-8E7C-496F-912F-C3D79C9552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803E99E7-C3AD-4B63-B2CF-EBFA81006C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7792F05F-6366-40F2-B602-EEB8FF6E3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F9257D6C-4C26-43F4-85E7-2D23195957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B34FAA64-96BF-4332-A3E1-80F90163B1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AC11BC56-A830-49A9-BF24-A6F02405C6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9C1268B1-4E0A-4A78-801A-421787ECCB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15</xdr:col>
      <xdr:colOff>464274</xdr:colOff>
      <xdr:row>5</xdr:row>
      <xdr:rowOff>157679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DC8EA8D-BBA0-4420-ACC2-47244F35D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45679" y="0"/>
          <a:ext cx="8723809" cy="13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</xdr:row>
      <xdr:rowOff>0</xdr:rowOff>
    </xdr:from>
    <xdr:to>
      <xdr:col>15</xdr:col>
      <xdr:colOff>492846</xdr:colOff>
      <xdr:row>12</xdr:row>
      <xdr:rowOff>119583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EB9A244-F09C-4B03-BA84-EF958ABD5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45679" y="1619250"/>
          <a:ext cx="8752381" cy="12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15</xdr:col>
      <xdr:colOff>473798</xdr:colOff>
      <xdr:row>21</xdr:row>
      <xdr:rowOff>9321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0DF3552-A8EF-4B31-8097-4B83F3E37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45679" y="3238500"/>
          <a:ext cx="8733333" cy="1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15</xdr:col>
      <xdr:colOff>111893</xdr:colOff>
      <xdr:row>29</xdr:row>
      <xdr:rowOff>180750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82B12F6-AB55-42F0-8BFF-3F5072BD2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45679" y="5089071"/>
          <a:ext cx="8371428" cy="18000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20277C1A-9953-46A9-B034-716AB9AB67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25476FFE-3A84-4185-9CB3-A1D0C313FA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EC2D84E9-FA57-4720-A6CF-E5806121A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FE6B448B-825A-46D2-9185-54FAF48779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4C4B81DB-F5F3-46DD-9F71-225AFBD6E9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B9702974-21EB-446B-BB3B-38EF73565F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F8895CF0-BF8C-4A77-82C4-E52BCD8DF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F6E6825E-CC8B-415A-B50A-C7C098135D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69320DD1-F14F-4153-9B75-44EEECF57F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6C28567B-4473-4793-9A58-B30CA7D1FD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10</xdr:col>
      <xdr:colOff>532943</xdr:colOff>
      <xdr:row>54</xdr:row>
      <xdr:rowOff>171171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8C05E1-AF32-47C5-89F8-029B6887AA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10287000"/>
          <a:ext cx="3657143" cy="22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10</xdr:col>
      <xdr:colOff>913896</xdr:colOff>
      <xdr:row>10</xdr:row>
      <xdr:rowOff>228343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F836C16-992D-4A11-9423-8D8EAD38D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457200"/>
          <a:ext cx="4028571" cy="20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10</xdr:col>
      <xdr:colOff>971039</xdr:colOff>
      <xdr:row>20</xdr:row>
      <xdr:rowOff>152181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6FAE9BB-BE9F-4999-A205-D78142783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2971800"/>
          <a:ext cx="4085714" cy="17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10</xdr:col>
      <xdr:colOff>894849</xdr:colOff>
      <xdr:row>29</xdr:row>
      <xdr:rowOff>9324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373F6F-D41B-418C-B553-2EB3E6740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5029200"/>
          <a:ext cx="4009524" cy="16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</xdr:row>
      <xdr:rowOff>0</xdr:rowOff>
    </xdr:from>
    <xdr:to>
      <xdr:col>11</xdr:col>
      <xdr:colOff>161392</xdr:colOff>
      <xdr:row>41</xdr:row>
      <xdr:rowOff>209238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97BC51F-C03E-4257-8D6B-E396ED6B8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8875" y="7086600"/>
          <a:ext cx="4266667" cy="249523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6A02C64C-AF88-4706-BF4B-2F439F126C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294D2749-80D6-447F-8A93-C3C1989DFB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D93ED4DB-13A1-49A8-BF9A-101552155D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B1FD76A5-2F07-4972-AEB3-3618024C66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3187065A-D016-4730-87FC-8C850243B0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6F166313-54C1-49CD-BE3D-A6F98477DD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87161629-0CD5-44EE-888A-E4C07CDAF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ED11B91E-202D-4344-8C72-43035F0A7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51BC205A-F273-4C0D-A10C-3B87EE1AE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5ECEB121-364E-4375-8DFE-4E479EE6CD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11</xdr:col>
      <xdr:colOff>1180438</xdr:colOff>
      <xdr:row>50</xdr:row>
      <xdr:rowOff>47333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CD2BE2-E42E-489E-B451-C39835B66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9144000"/>
          <a:ext cx="5295238" cy="23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51</xdr:row>
      <xdr:rowOff>0</xdr:rowOff>
    </xdr:from>
    <xdr:to>
      <xdr:col>14</xdr:col>
      <xdr:colOff>484795</xdr:colOff>
      <xdr:row>64</xdr:row>
      <xdr:rowOff>209152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045729-FD94-49A5-A805-5F2B98F4A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11658600"/>
          <a:ext cx="7838095" cy="318095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13</xdr:col>
      <xdr:colOff>780156</xdr:colOff>
      <xdr:row>17</xdr:row>
      <xdr:rowOff>228143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2B18B39-9B43-4A3B-90F6-4974A6CC6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457200"/>
          <a:ext cx="7152381" cy="36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13</xdr:col>
      <xdr:colOff>846823</xdr:colOff>
      <xdr:row>29</xdr:row>
      <xdr:rowOff>190219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9F43FA-D40A-4327-B507-514FAE7ED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4572000"/>
          <a:ext cx="7219048" cy="224761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449B2426-7224-4979-9A06-F246FBBF98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0D4FCB53-A4AF-4D02-85D8-7BC126A63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E17B6F22-CC70-43BA-A30E-5364EFE4C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BEBA42E1-1B46-4879-99D1-360AB6075A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75FA06D0-B3C0-41E4-B807-4EB1301D5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2382144A-8BEC-46B1-AC57-72FB289800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A04292C0-47DA-4CBB-8F97-BE36A686AF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03D8D9AC-5EF8-4D1F-9E80-B467835C7F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4AFF2095-7798-41B5-ABD6-5E0D275946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E8064EB8-B12C-412C-93E5-A4D39F98F6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13</xdr:col>
      <xdr:colOff>482678</xdr:colOff>
      <xdr:row>12</xdr:row>
      <xdr:rowOff>15350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CCC8AEF-8F87-42EA-BF1F-2D054E706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0471" y="0"/>
          <a:ext cx="6847619" cy="27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13</xdr:col>
      <xdr:colOff>482678</xdr:colOff>
      <xdr:row>23</xdr:row>
      <xdr:rowOff>196918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678BCF5-1696-4AB2-923C-41FDF3490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0471" y="2913529"/>
          <a:ext cx="6847619" cy="24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13</xdr:col>
      <xdr:colOff>339821</xdr:colOff>
      <xdr:row>35</xdr:row>
      <xdr:rowOff>6442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4114C9C-077B-4135-BEBF-94BCFB9B4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0471" y="5602941"/>
          <a:ext cx="6704762" cy="22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36</xdr:row>
      <xdr:rowOff>0</xdr:rowOff>
    </xdr:from>
    <xdr:to>
      <xdr:col>15</xdr:col>
      <xdr:colOff>668439</xdr:colOff>
      <xdr:row>45</xdr:row>
      <xdr:rowOff>154370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C269434-B181-4DEF-9B9E-A4E5925DF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0471" y="8068235"/>
          <a:ext cx="8904762" cy="217142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D25DF23A-C8D0-420A-9187-7414747AB1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568598B3-B7DB-4F4D-9FDF-46FA072646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B1BE0685-7D2E-4775-A00A-E40DA79AC9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CD73AB3F-5A46-4DC5-A518-4AE78CC59C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D460E032-6F5A-454B-A421-6BBA457631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7313D60-A5C6-4E3F-A42A-BACBDBD121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08A5ADEE-B184-4F25-A5F6-EFCBA5895E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2C567550-D122-4029-A02E-8BC47AA87F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66FA50BC-4C17-4952-9CB1-CE657B8405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FA083CB8-C62A-4C95-8F99-CD644BAB2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14</xdr:col>
      <xdr:colOff>363228</xdr:colOff>
      <xdr:row>10</xdr:row>
      <xdr:rowOff>21037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D58D1F5-5D99-46DA-BAE2-067169C6B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0471" y="224118"/>
          <a:ext cx="7714286" cy="20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14</xdr:col>
      <xdr:colOff>344180</xdr:colOff>
      <xdr:row>20</xdr:row>
      <xdr:rowOff>207059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FA8933C-FD28-4866-8461-8DC69EE79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0471" y="2689412"/>
          <a:ext cx="7695238" cy="20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14</xdr:col>
      <xdr:colOff>220370</xdr:colOff>
      <xdr:row>32</xdr:row>
      <xdr:rowOff>92156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EE45E41-DEDC-4965-B863-1F7D34591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0471" y="4930588"/>
          <a:ext cx="7571428" cy="23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14</xdr:col>
      <xdr:colOff>506085</xdr:colOff>
      <xdr:row>44</xdr:row>
      <xdr:rowOff>115658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4B52060-6749-4CB5-BAE3-F6E84DC14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0471" y="7395882"/>
          <a:ext cx="7857143" cy="2580952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6F96A147-F328-4D23-B5D5-0F14301FF8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013ABF1E-8E50-457B-B964-4887139EF9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DA965504-2BA6-4794-8167-43B0E0955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C95254C8-F359-4255-880F-11612A8F8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018ECF75-9D42-432E-8608-8E36042580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992A1B36-B1BF-4B9F-A012-CFBE490959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8CB0346C-7690-448C-9BA8-BB4EC289B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E3AF66DF-7E56-4C18-A399-C58991DBA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043A3407-3A14-4FCF-AC56-8DA734D012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0D5DE93B-EE80-4889-935B-701DD34EB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220980</xdr:colOff>
      <xdr:row>0</xdr:row>
      <xdr:rowOff>0</xdr:rowOff>
    </xdr:from>
    <xdr:to>
      <xdr:col>15</xdr:col>
      <xdr:colOff>538045</xdr:colOff>
      <xdr:row>14</xdr:row>
      <xdr:rowOff>209124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C9813D8-FA5F-4CE0-9655-485A460F3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454140" y="0"/>
          <a:ext cx="8561905" cy="34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16</xdr:row>
      <xdr:rowOff>0</xdr:rowOff>
    </xdr:from>
    <xdr:to>
      <xdr:col>14</xdr:col>
      <xdr:colOff>665781</xdr:colOff>
      <xdr:row>30</xdr:row>
      <xdr:rowOff>9124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39D270-C030-4EF2-A2B9-E189E32BB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499860" y="3657600"/>
          <a:ext cx="7752381" cy="3209524"/>
        </a:xfrm>
        <a:prstGeom prst="rect">
          <a:avLst/>
        </a:prstGeom>
      </xdr:spPr>
    </xdr:pic>
    <xdr:clientData/>
  </xdr:twoCellAnchor>
  <xdr:twoCellAnchor editAs="oneCell">
    <xdr:from>
      <xdr:col>6</xdr:col>
      <xdr:colOff>1120140</xdr:colOff>
      <xdr:row>30</xdr:row>
      <xdr:rowOff>129540</xdr:rowOff>
    </xdr:from>
    <xdr:to>
      <xdr:col>14</xdr:col>
      <xdr:colOff>440984</xdr:colOff>
      <xdr:row>43</xdr:row>
      <xdr:rowOff>72026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F79F246-E149-4142-8A23-F460B4E36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17920" y="6987540"/>
          <a:ext cx="7809524" cy="29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15</xdr:col>
      <xdr:colOff>145636</xdr:colOff>
      <xdr:row>56</xdr:row>
      <xdr:rowOff>161590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9C51AB-F88A-46CA-A411-1A23F0392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10287000"/>
          <a:ext cx="8390476" cy="267619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2F663D0F-823A-4AB8-BB05-E1FE08A7DE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2F914781-DAE1-4F05-9333-D14F9BD78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976EBB83-F9B2-4C88-95AE-EEC106FC4E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10F544C3-1EE4-4F9A-80F2-F1982E0165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E3A57A7C-53B3-4D50-91E7-BE707CFEB3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90FAE538-E20C-489B-BAC7-7C94E4633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6C0F11EB-CB67-481A-9A29-BBB4AC9AEB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94287921-FCDC-4C02-8FCC-95D11CCCE5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E83E17F2-09BE-4CE5-9282-86B71B9F31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F869EE31-15AA-476A-A62C-5C770BE9B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297180</xdr:colOff>
      <xdr:row>0</xdr:row>
      <xdr:rowOff>129540</xdr:rowOff>
    </xdr:from>
    <xdr:to>
      <xdr:col>13</xdr:col>
      <xdr:colOff>338288</xdr:colOff>
      <xdr:row>9</xdr:row>
      <xdr:rowOff>148330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8525D17-775F-4CC3-86BA-35D53A5C9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30340" y="129540"/>
          <a:ext cx="6419048" cy="2076190"/>
        </a:xfrm>
        <a:prstGeom prst="rect">
          <a:avLst/>
        </a:prstGeom>
      </xdr:spPr>
    </xdr:pic>
    <xdr:clientData/>
  </xdr:twoCellAnchor>
  <xdr:twoCellAnchor editAs="oneCell">
    <xdr:from>
      <xdr:col>6</xdr:col>
      <xdr:colOff>685800</xdr:colOff>
      <xdr:row>11</xdr:row>
      <xdr:rowOff>167640</xdr:rowOff>
    </xdr:from>
    <xdr:to>
      <xdr:col>12</xdr:col>
      <xdr:colOff>711663</xdr:colOff>
      <xdr:row>19</xdr:row>
      <xdr:rowOff>186459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80526BA-2455-4843-A6E8-117F00679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783580" y="2682240"/>
          <a:ext cx="6457143" cy="18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236220</xdr:colOff>
      <xdr:row>20</xdr:row>
      <xdr:rowOff>137160</xdr:rowOff>
    </xdr:from>
    <xdr:to>
      <xdr:col>13</xdr:col>
      <xdr:colOff>172566</xdr:colOff>
      <xdr:row>28</xdr:row>
      <xdr:rowOff>79789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CC4E73-8A9E-41B5-8F5D-7C400A49A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69380" y="4709160"/>
          <a:ext cx="6314286" cy="1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68580</xdr:colOff>
      <xdr:row>31</xdr:row>
      <xdr:rowOff>22860</xdr:rowOff>
    </xdr:from>
    <xdr:to>
      <xdr:col>13</xdr:col>
      <xdr:colOff>204926</xdr:colOff>
      <xdr:row>39</xdr:row>
      <xdr:rowOff>13108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C4DC6E-A466-45AE-9432-CB818B9DA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01740" y="7109460"/>
          <a:ext cx="6514286" cy="1819048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95</xdr:row>
      <xdr:rowOff>76200</xdr:rowOff>
    </xdr:from>
    <xdr:to>
      <xdr:col>1</xdr:col>
      <xdr:colOff>228600</xdr:colOff>
      <xdr:row>98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0443C5-7CA9-4189-B073-701346E629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42875" y="19107150"/>
          <a:ext cx="752475" cy="5048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44268</xdr:colOff>
      <xdr:row>14</xdr:row>
      <xdr:rowOff>70589</xdr:rowOff>
    </xdr:from>
    <xdr:to>
      <xdr:col>16</xdr:col>
      <xdr:colOff>194404</xdr:colOff>
      <xdr:row>18</xdr:row>
      <xdr:rowOff>156314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9D64B3A5-E55E-4979-84D5-D376CB6090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1398068" y="2889989"/>
          <a:ext cx="2731411" cy="8477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</xdr:col>
      <xdr:colOff>819150</xdr:colOff>
      <xdr:row>101</xdr:row>
      <xdr:rowOff>133350</xdr:rowOff>
    </xdr:from>
    <xdr:to>
      <xdr:col>3</xdr:col>
      <xdr:colOff>47625</xdr:colOff>
      <xdr:row>104</xdr:row>
      <xdr:rowOff>114300</xdr:rowOff>
    </xdr:to>
    <xdr:pic>
      <xdr:nvPicPr>
        <xdr:cNvPr id="4" name="Picture 38">
          <a:extLst>
            <a:ext uri="{FF2B5EF4-FFF2-40B4-BE49-F238E27FC236}">
              <a16:creationId xmlns:a16="http://schemas.microsoft.com/office/drawing/2014/main" id="{9F18F911-5130-4B4F-B0FA-6D0A027D8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0345400"/>
          <a:ext cx="771525" cy="552450"/>
        </a:xfrm>
        <a:prstGeom prst="rect">
          <a:avLst/>
        </a:prstGeom>
        <a:noFill/>
      </xdr:spPr>
    </xdr:pic>
    <xdr:clientData/>
  </xdr:twoCellAnchor>
  <xdr:twoCellAnchor>
    <xdr:from>
      <xdr:col>1</xdr:col>
      <xdr:colOff>800100</xdr:colOff>
      <xdr:row>108</xdr:row>
      <xdr:rowOff>123825</xdr:rowOff>
    </xdr:from>
    <xdr:to>
      <xdr:col>4</xdr:col>
      <xdr:colOff>809625</xdr:colOff>
      <xdr:row>110</xdr:row>
      <xdr:rowOff>19050</xdr:rowOff>
    </xdr:to>
    <xdr:pic>
      <xdr:nvPicPr>
        <xdr:cNvPr id="5" name="Picture 39">
          <a:extLst>
            <a:ext uri="{FF2B5EF4-FFF2-40B4-BE49-F238E27FC236}">
              <a16:creationId xmlns:a16="http://schemas.microsoft.com/office/drawing/2014/main" id="{7C000DA5-EBF6-4A5A-8CEC-E1DBF740B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1669375"/>
          <a:ext cx="2238375" cy="276225"/>
        </a:xfrm>
        <a:prstGeom prst="rect">
          <a:avLst/>
        </a:prstGeom>
        <a:noFill/>
      </xdr:spPr>
    </xdr:pic>
    <xdr:clientData/>
  </xdr:twoCellAnchor>
  <xdr:twoCellAnchor>
    <xdr:from>
      <xdr:col>3</xdr:col>
      <xdr:colOff>257175</xdr:colOff>
      <xdr:row>102</xdr:row>
      <xdr:rowOff>142875</xdr:rowOff>
    </xdr:from>
    <xdr:to>
      <xdr:col>3</xdr:col>
      <xdr:colOff>819150</xdr:colOff>
      <xdr:row>104</xdr:row>
      <xdr:rowOff>104775</xdr:rowOff>
    </xdr:to>
    <xdr:pic>
      <xdr:nvPicPr>
        <xdr:cNvPr id="6" name="Picture 40">
          <a:extLst>
            <a:ext uri="{FF2B5EF4-FFF2-40B4-BE49-F238E27FC236}">
              <a16:creationId xmlns:a16="http://schemas.microsoft.com/office/drawing/2014/main" id="{D45D5212-DCC3-4BE5-A6BB-147D085FF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314575" y="20545425"/>
          <a:ext cx="495300" cy="3429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101</xdr:row>
      <xdr:rowOff>28575</xdr:rowOff>
    </xdr:from>
    <xdr:to>
      <xdr:col>1</xdr:col>
      <xdr:colOff>609600</xdr:colOff>
      <xdr:row>104</xdr:row>
      <xdr:rowOff>38100</xdr:rowOff>
    </xdr:to>
    <xdr:pic>
      <xdr:nvPicPr>
        <xdr:cNvPr id="7" name="Picture 41">
          <a:extLst>
            <a:ext uri="{FF2B5EF4-FFF2-40B4-BE49-F238E27FC236}">
              <a16:creationId xmlns:a16="http://schemas.microsoft.com/office/drawing/2014/main" id="{F2867A71-DB2E-456B-A3AE-1680AEADF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0240625"/>
          <a:ext cx="1276350" cy="5810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1</xdr:colOff>
      <xdr:row>97</xdr:row>
      <xdr:rowOff>95250</xdr:rowOff>
    </xdr:from>
    <xdr:to>
      <xdr:col>2</xdr:col>
      <xdr:colOff>704851</xdr:colOff>
      <xdr:row>101</xdr:row>
      <xdr:rowOff>89021</xdr:rowOff>
    </xdr:to>
    <xdr:pic>
      <xdr:nvPicPr>
        <xdr:cNvPr id="8" name="Picture 11">
          <a:extLst>
            <a:ext uri="{FF2B5EF4-FFF2-40B4-BE49-F238E27FC236}">
              <a16:creationId xmlns:a16="http://schemas.microsoft.com/office/drawing/2014/main" id="{5ED3BE9E-9554-426D-90C9-408FC3D5C5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" y="19507200"/>
          <a:ext cx="2038350" cy="793871"/>
        </a:xfrm>
        <a:prstGeom prst="rect">
          <a:avLst/>
        </a:prstGeom>
        <a:noFill/>
      </xdr:spPr>
    </xdr:pic>
    <xdr:clientData/>
  </xdr:twoCellAnchor>
  <xdr:twoCellAnchor>
    <xdr:from>
      <xdr:col>0</xdr:col>
      <xdr:colOff>38100</xdr:colOff>
      <xdr:row>104</xdr:row>
      <xdr:rowOff>57150</xdr:rowOff>
    </xdr:from>
    <xdr:to>
      <xdr:col>1</xdr:col>
      <xdr:colOff>0</xdr:colOff>
      <xdr:row>105</xdr:row>
      <xdr:rowOff>133350</xdr:rowOff>
    </xdr:to>
    <xdr:pic>
      <xdr:nvPicPr>
        <xdr:cNvPr id="9" name="Picture 12">
          <a:extLst>
            <a:ext uri="{FF2B5EF4-FFF2-40B4-BE49-F238E27FC236}">
              <a16:creationId xmlns:a16="http://schemas.microsoft.com/office/drawing/2014/main" id="{2E8F3F41-E997-44DB-AD13-5396A866DE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38100" y="20840700"/>
          <a:ext cx="628650" cy="2667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105</xdr:row>
      <xdr:rowOff>123825</xdr:rowOff>
    </xdr:from>
    <xdr:to>
      <xdr:col>6</xdr:col>
      <xdr:colOff>171450</xdr:colOff>
      <xdr:row>108</xdr:row>
      <xdr:rowOff>19050</xdr:rowOff>
    </xdr:to>
    <xdr:pic>
      <xdr:nvPicPr>
        <xdr:cNvPr id="10" name="Picture 13">
          <a:extLst>
            <a:ext uri="{FF2B5EF4-FFF2-40B4-BE49-F238E27FC236}">
              <a16:creationId xmlns:a16="http://schemas.microsoft.com/office/drawing/2014/main" id="{75B7849C-7A87-4BD3-9122-831914A98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097875"/>
          <a:ext cx="4591050" cy="4667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108</xdr:row>
      <xdr:rowOff>76200</xdr:rowOff>
    </xdr:from>
    <xdr:to>
      <xdr:col>1</xdr:col>
      <xdr:colOff>533400</xdr:colOff>
      <xdr:row>110</xdr:row>
      <xdr:rowOff>123825</xdr:rowOff>
    </xdr:to>
    <xdr:pic>
      <xdr:nvPicPr>
        <xdr:cNvPr id="11" name="Picture 14">
          <a:extLst>
            <a:ext uri="{FF2B5EF4-FFF2-40B4-BE49-F238E27FC236}">
              <a16:creationId xmlns:a16="http://schemas.microsoft.com/office/drawing/2014/main" id="{08BECAD0-F501-4395-A20C-F9B463B39A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621750"/>
          <a:ext cx="1200150" cy="4286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46503</xdr:colOff>
      <xdr:row>2</xdr:row>
      <xdr:rowOff>52667</xdr:rowOff>
    </xdr:from>
    <xdr:to>
      <xdr:col>14</xdr:col>
      <xdr:colOff>411254</xdr:colOff>
      <xdr:row>6</xdr:row>
      <xdr:rowOff>159683</xdr:rowOff>
    </xdr:to>
    <xdr:pic>
      <xdr:nvPicPr>
        <xdr:cNvPr id="12" name="Picture 1">
          <a:extLst>
            <a:ext uri="{FF2B5EF4-FFF2-40B4-BE49-F238E27FC236}">
              <a16:creationId xmlns:a16="http://schemas.microsoft.com/office/drawing/2014/main" id="{C3D824C2-840B-4587-AF21-4A31E6DFF4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r="70353"/>
        <a:stretch>
          <a:fillRect/>
        </a:stretch>
      </xdr:blipFill>
      <xdr:spPr bwMode="auto">
        <a:xfrm>
          <a:off x="11400303" y="500342"/>
          <a:ext cx="1202951" cy="83091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30261</xdr:colOff>
      <xdr:row>8</xdr:row>
      <xdr:rowOff>67233</xdr:rowOff>
    </xdr:from>
    <xdr:to>
      <xdr:col>14</xdr:col>
      <xdr:colOff>480177</xdr:colOff>
      <xdr:row>12</xdr:row>
      <xdr:rowOff>66112</xdr:rowOff>
    </xdr:to>
    <xdr:pic>
      <xdr:nvPicPr>
        <xdr:cNvPr id="13" name="Picture 2">
          <a:extLst>
            <a:ext uri="{FF2B5EF4-FFF2-40B4-BE49-F238E27FC236}">
              <a16:creationId xmlns:a16="http://schemas.microsoft.com/office/drawing/2014/main" id="{C81D3802-5FFD-4EDF-8159-1697EA61AD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r="53925"/>
        <a:stretch>
          <a:fillRect/>
        </a:stretch>
      </xdr:blipFill>
      <xdr:spPr bwMode="auto">
        <a:xfrm>
          <a:off x="11384061" y="1667433"/>
          <a:ext cx="1288116" cy="77040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38101</xdr:colOff>
      <xdr:row>64</xdr:row>
      <xdr:rowOff>114300</xdr:rowOff>
    </xdr:from>
    <xdr:to>
      <xdr:col>6</xdr:col>
      <xdr:colOff>485215</xdr:colOff>
      <xdr:row>70</xdr:row>
      <xdr:rowOff>53139</xdr:rowOff>
    </xdr:to>
    <xdr:pic>
      <xdr:nvPicPr>
        <xdr:cNvPr id="14" name="Picture 168">
          <a:extLst>
            <a:ext uri="{FF2B5EF4-FFF2-40B4-BE49-F238E27FC236}">
              <a16:creationId xmlns:a16="http://schemas.microsoft.com/office/drawing/2014/main" id="{D30E2B0C-6C58-4696-A0E6-417E4560D0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38101" y="13049250"/>
          <a:ext cx="4866714" cy="11389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67234</xdr:colOff>
      <xdr:row>14</xdr:row>
      <xdr:rowOff>14015</xdr:rowOff>
    </xdr:from>
    <xdr:to>
      <xdr:col>6</xdr:col>
      <xdr:colOff>818028</xdr:colOff>
      <xdr:row>19</xdr:row>
      <xdr:rowOff>156882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028DD4E-EF39-4950-975E-2A6153EB2A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6624" t="37688" r="54520" b="36420"/>
        <a:stretch/>
      </xdr:blipFill>
      <xdr:spPr>
        <a:xfrm>
          <a:off x="2140322" y="2837897"/>
          <a:ext cx="3115235" cy="108416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B62F65AF-0709-4C6E-B34E-E126545480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3EC8AB1A-7C1D-4146-8CC2-57E0AFC88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6C0BB263-EAF4-4D85-BEA2-0EE4AB5A79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5DE4D5DE-DF46-4992-BA2E-D3AC2B5D64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64499D77-06CF-45AF-BB54-BCCBEA1B6E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7739986-6C39-487E-BA43-B6BABD601B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9A47C0D0-9ACB-4EED-BA9B-16287622DA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E425239F-7BCE-4771-B950-EC10DBB9CE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BE66AFBA-E255-4BBB-B415-A6BD355A65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29133C82-124C-47DA-A4E5-370360B17D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15</xdr:col>
      <xdr:colOff>21827</xdr:colOff>
      <xdr:row>20</xdr:row>
      <xdr:rowOff>180409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D5E64E4-28FD-4102-90F1-4D2890B19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8266667" cy="4523809"/>
        </a:xfrm>
        <a:prstGeom prst="rect">
          <a:avLst/>
        </a:prstGeom>
      </xdr:spPr>
    </xdr:pic>
    <xdr:clientData/>
  </xdr:twoCellAnchor>
  <xdr:twoCellAnchor editAs="oneCell">
    <xdr:from>
      <xdr:col>6</xdr:col>
      <xdr:colOff>960120</xdr:colOff>
      <xdr:row>22</xdr:row>
      <xdr:rowOff>160020</xdr:rowOff>
    </xdr:from>
    <xdr:to>
      <xdr:col>14</xdr:col>
      <xdr:colOff>700011</xdr:colOff>
      <xdr:row>39</xdr:row>
      <xdr:rowOff>26201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FF3F8A-9F99-479F-811D-EEC4DB151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57900" y="5189220"/>
          <a:ext cx="8228571" cy="37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15</xdr:col>
      <xdr:colOff>107541</xdr:colOff>
      <xdr:row>54</xdr:row>
      <xdr:rowOff>94838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11D03F1-E184-4B08-86E5-0CA66B160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9144000"/>
          <a:ext cx="8352381" cy="32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56</xdr:row>
      <xdr:rowOff>0</xdr:rowOff>
    </xdr:from>
    <xdr:to>
      <xdr:col>14</xdr:col>
      <xdr:colOff>827648</xdr:colOff>
      <xdr:row>71</xdr:row>
      <xdr:rowOff>113857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9545E9A-DF7F-4D73-8696-2E23C47E5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12801600"/>
          <a:ext cx="8219048" cy="354285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5DAB31D8-B76C-4EA2-B3E7-35ADD1AF9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83AF7BE7-ED11-430B-B72E-91BEE7B3E2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F099AB92-F1D9-4765-A749-B6C5071465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DA75A3BC-D099-41F4-B1B4-8E5EBC116D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F4B36505-5A2B-40A2-962E-A78976E6A5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A225740C-2D4B-4377-B6E9-6485F308A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6404E2F8-BD66-4FFF-8EBE-C70E308A84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4633F964-0F6B-453B-BE00-B7A8965134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35805F97-96D7-446A-A4A2-98ECB070F6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A03D85D8-F208-44A9-998B-537DD29DFF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9525</xdr:colOff>
      <xdr:row>0</xdr:row>
      <xdr:rowOff>66675</xdr:rowOff>
    </xdr:from>
    <xdr:to>
      <xdr:col>11</xdr:col>
      <xdr:colOff>847107</xdr:colOff>
      <xdr:row>5</xdr:row>
      <xdr:rowOff>190342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66C0CFC-7358-4DB9-A0B4-2048714FB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48400" y="66675"/>
          <a:ext cx="4942857" cy="12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6</xdr:row>
      <xdr:rowOff>85725</xdr:rowOff>
    </xdr:from>
    <xdr:to>
      <xdr:col>11</xdr:col>
      <xdr:colOff>904252</xdr:colOff>
      <xdr:row>12</xdr:row>
      <xdr:rowOff>47458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8501AC-FC90-4E30-96C0-BB45AC43A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67450" y="1457325"/>
          <a:ext cx="4980952" cy="13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12</xdr:row>
      <xdr:rowOff>152400</xdr:rowOff>
    </xdr:from>
    <xdr:to>
      <xdr:col>12</xdr:col>
      <xdr:colOff>151721</xdr:colOff>
      <xdr:row>18</xdr:row>
      <xdr:rowOff>190324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7E01C8-D4C4-48E3-A1B1-67AA18A04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57925" y="2895600"/>
          <a:ext cx="5428571" cy="1409524"/>
        </a:xfrm>
        <a:prstGeom prst="rect">
          <a:avLst/>
        </a:prstGeom>
      </xdr:spPr>
    </xdr:pic>
    <xdr:clientData/>
  </xdr:twoCellAnchor>
  <xdr:twoCellAnchor editAs="oneCell">
    <xdr:from>
      <xdr:col>6</xdr:col>
      <xdr:colOff>1104900</xdr:colOff>
      <xdr:row>19</xdr:row>
      <xdr:rowOff>152400</xdr:rowOff>
    </xdr:from>
    <xdr:to>
      <xdr:col>12</xdr:col>
      <xdr:colOff>56477</xdr:colOff>
      <xdr:row>25</xdr:row>
      <xdr:rowOff>47467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9FC1EE3-8664-4851-B7A2-115726D40F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10300" y="4495800"/>
          <a:ext cx="5380952" cy="1266667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4C99E1E0-08B2-4CAC-B9CA-B9AE29048E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4BFF98B8-5E2D-40D1-AB82-1B536A2E2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A46ADFF4-A9BC-496B-B98F-705D31DA4F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CF9556B5-2C58-44C1-A319-8F16EB9BA9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5519E174-0A40-48CB-ADF8-784335E7E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61100F7E-CB92-4F74-A534-3C2ABAD23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ED5E60A2-CDEB-46F2-9F13-F83B6E2DFE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D687C755-D7CC-4A1C-AA35-82BBA702DC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AC9DE9B8-3635-406F-91C8-023B3B79F1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C87A6F9B-A679-4A78-BEF7-EBF7F3C488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60960</xdr:colOff>
      <xdr:row>0</xdr:row>
      <xdr:rowOff>144780</xdr:rowOff>
    </xdr:from>
    <xdr:to>
      <xdr:col>13</xdr:col>
      <xdr:colOff>844925</xdr:colOff>
      <xdr:row>11</xdr:row>
      <xdr:rowOff>96847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E367B8A-62E0-4DF1-8FBE-771282351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94120" y="144780"/>
          <a:ext cx="7161905" cy="24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68580</xdr:colOff>
      <xdr:row>12</xdr:row>
      <xdr:rowOff>100965</xdr:rowOff>
    </xdr:from>
    <xdr:to>
      <xdr:col>13</xdr:col>
      <xdr:colOff>841116</xdr:colOff>
      <xdr:row>21</xdr:row>
      <xdr:rowOff>14994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B36F2A5-7E78-4E58-9305-6E3C48B0F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07455" y="2844165"/>
          <a:ext cx="7154286" cy="1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53340</xdr:colOff>
      <xdr:row>22</xdr:row>
      <xdr:rowOff>83820</xdr:rowOff>
    </xdr:from>
    <xdr:to>
      <xdr:col>13</xdr:col>
      <xdr:colOff>787781</xdr:colOff>
      <xdr:row>30</xdr:row>
      <xdr:rowOff>93115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F32FD53-B648-4420-8C8C-13FFEA9E9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92215" y="5113020"/>
          <a:ext cx="7116191" cy="18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100965</xdr:colOff>
      <xdr:row>31</xdr:row>
      <xdr:rowOff>49530</xdr:rowOff>
    </xdr:from>
    <xdr:to>
      <xdr:col>13</xdr:col>
      <xdr:colOff>892548</xdr:colOff>
      <xdr:row>39</xdr:row>
      <xdr:rowOff>77873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1866064-476D-400E-BD6F-8BE12A131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339840" y="7136130"/>
          <a:ext cx="7173333" cy="1857143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A75E2922-DFA2-4AD2-BD64-65DFF89650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D9D84C15-3AEB-4643-B284-292C22964E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6480A7B4-7174-401F-90C2-CD4294517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DE9F681-1887-4E73-B4E5-436A00B0BD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38B3B672-900E-4FB0-82A3-57375098C2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9049332-076F-4248-99DE-365561288F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1A691296-59C7-497D-B25F-0B378EB840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A3214B36-8AEF-4E8C-B1EC-018A5786AE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F968D3D3-9033-4825-B764-64E3ABE860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2CD29CC9-3A35-4443-B383-9E377DA7E0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13</xdr:col>
      <xdr:colOff>332536</xdr:colOff>
      <xdr:row>9</xdr:row>
      <xdr:rowOff>94981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F7B7583-4EE5-4AAE-9BDE-316374443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8875" y="0"/>
          <a:ext cx="6714286" cy="21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13</xdr:col>
      <xdr:colOff>742059</xdr:colOff>
      <xdr:row>18</xdr:row>
      <xdr:rowOff>114057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CD5CDB7-FC9A-44CD-8C46-2B6BE0170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2286000"/>
          <a:ext cx="7123809" cy="194285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13</xdr:col>
      <xdr:colOff>151583</xdr:colOff>
      <xdr:row>27</xdr:row>
      <xdr:rowOff>142629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871DBCA-81AC-466B-8795-7AAB755CF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4343400"/>
          <a:ext cx="6533333" cy="1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16</xdr:col>
      <xdr:colOff>303608</xdr:colOff>
      <xdr:row>36</xdr:row>
      <xdr:rowOff>161705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1F15ADB-6373-44B3-A7B1-4FF83149D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6629400"/>
          <a:ext cx="9533333" cy="1761905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2040F241-787D-48B3-BAB1-25D3289914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951A645F-B2DC-48A8-BD71-C9211AF95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B3657989-8CA2-4924-984C-44C14B84A6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8CBDBD4A-E603-4C8A-96CA-823026E80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753F54D4-882C-4CA0-AB44-11FF321DE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EB51FF65-A8F6-4F5A-9E58-D1082E8330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F908E9CD-BCD0-4439-8D68-3B590B1727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62D5185-EEE5-493A-BF25-ACB6DF6C48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8AEAE952-410F-4D66-8BE1-A3ADC913C6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2D4871A5-86EE-4C3C-A6B7-17F9E974D3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14</xdr:col>
      <xdr:colOff>589557</xdr:colOff>
      <xdr:row>8</xdr:row>
      <xdr:rowOff>75962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27BC88-03DD-4BAB-8780-0481ACFDD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7942857" cy="19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15</xdr:col>
      <xdr:colOff>288493</xdr:colOff>
      <xdr:row>17</xdr:row>
      <xdr:rowOff>133133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138ED14-41AA-4507-965C-4FC7A8D4A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2286000"/>
          <a:ext cx="8533333" cy="17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14</xdr:col>
      <xdr:colOff>694319</xdr:colOff>
      <xdr:row>25</xdr:row>
      <xdr:rowOff>199829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77E0A0E-1F1E-497F-98C1-102214987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4343400"/>
          <a:ext cx="8047619" cy="15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525780</xdr:colOff>
      <xdr:row>28</xdr:row>
      <xdr:rowOff>198120</xdr:rowOff>
    </xdr:from>
    <xdr:to>
      <xdr:col>15</xdr:col>
      <xdr:colOff>833321</xdr:colOff>
      <xdr:row>35</xdr:row>
      <xdr:rowOff>197920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43B5F1A-F0B4-476A-A9D8-97B49EFB9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58940" y="6598920"/>
          <a:ext cx="8552381" cy="16000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C2E9BB54-656C-4104-A46E-034F9DB2C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8EFE5121-9525-43EF-9A63-756316609F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DB202228-7446-44CA-A70F-D2D6AABA1D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8CB1D1E-C9FF-41A4-AB93-2D80CB707F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89C899D8-4EBF-4699-A4BA-32A9F006F2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AFE2F29F-D08B-43A8-AC23-3812515FD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BEA1CF6D-C2FD-4C74-A8CF-20C2642671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A5757513-5DBF-4360-900E-C90D93943A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658F6A38-E969-468C-B3DA-C11D2A9A1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FB2479D3-850D-426B-AF3C-E57A2FB34E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9F96402C-EFC6-48AB-9579-BFEAF9FDD3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6EBE0EFB-8417-460E-9560-8EEDD664A2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C9C4D067-0DFA-4C24-9217-F0AB882DA5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FA1B175C-3F17-4C23-B7FE-CABE3A83BA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598DB8A8-3BEC-4F83-8D10-41D266235F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8C4BAB0-E74E-49D5-966A-986833C9AA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0556A393-F0FD-4D15-B8AF-0114438799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3A35C6B0-0725-4D86-8A91-D918289983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C2CFAD1F-3E51-4B59-B80E-760141369F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C4A66829-C8C9-4302-BDBA-07D314A0C5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15</xdr:col>
      <xdr:colOff>379992</xdr:colOff>
      <xdr:row>9</xdr:row>
      <xdr:rowOff>95067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B5A6F6-7D93-431A-8613-554F772DF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19775" y="685800"/>
          <a:ext cx="8066667" cy="14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0</xdr:rowOff>
    </xdr:from>
    <xdr:to>
      <xdr:col>15</xdr:col>
      <xdr:colOff>379992</xdr:colOff>
      <xdr:row>18</xdr:row>
      <xdr:rowOff>199800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5672325-CC95-4C0A-B224-2CE5549E5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19775" y="2514600"/>
          <a:ext cx="8066667" cy="18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15</xdr:col>
      <xdr:colOff>332373</xdr:colOff>
      <xdr:row>27</xdr:row>
      <xdr:rowOff>152181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4F21C5F-536B-464E-9601-8FA9445B0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19775" y="4572000"/>
          <a:ext cx="8019048" cy="17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15</xdr:col>
      <xdr:colOff>551420</xdr:colOff>
      <xdr:row>37</xdr:row>
      <xdr:rowOff>56914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B25F51E-64D0-47C8-BFE4-6FE0926F3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19775" y="6629400"/>
          <a:ext cx="8238095" cy="188571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8399FF0A-89AB-474D-A9C0-A5BD149BC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472642" y="2677645"/>
          <a:ext cx="4124326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DD4642A1-07F5-43EB-A655-465D8C7E1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7487900" y="2143125"/>
          <a:ext cx="93345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E36515BD-CA71-45A6-BBFC-DE00C89F0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59501" y="2276475"/>
          <a:ext cx="88582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CC477DD6-1173-49B4-8313-F2DE8B73C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7659350" y="3829050"/>
          <a:ext cx="108585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9DEFC768-4C3D-478F-8A6B-BE807C2B36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7611725" y="3276600"/>
          <a:ext cx="82867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AEE0DE53-0A5A-43A2-BA70-B3299379DD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050125" y="1819275"/>
          <a:ext cx="83820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2BE780A2-EC1E-42F3-BCC9-5F921719A0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050125" y="2743200"/>
          <a:ext cx="85725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F406D2DA-3094-41B8-AAE2-246BD06DFD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16650" y="3238500"/>
          <a:ext cx="418147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E546A7B2-4331-42D0-BA3A-7A8DE2E439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4801850" y="2133600"/>
          <a:ext cx="1562100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20DF5700-4177-4AC8-A85D-3EFCE9468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4801850" y="2743200"/>
          <a:ext cx="1543050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13</xdr:col>
      <xdr:colOff>456400</xdr:colOff>
      <xdr:row>8</xdr:row>
      <xdr:rowOff>123667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A3FE34B-F9EA-4E35-894F-4EA17C0B3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19775" y="685800"/>
          <a:ext cx="6400000" cy="12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13</xdr:col>
      <xdr:colOff>284971</xdr:colOff>
      <xdr:row>15</xdr:row>
      <xdr:rowOff>218905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F74E931-D26A-42CB-BC7D-647645F0A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19775" y="2286000"/>
          <a:ext cx="6228571" cy="136190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13</xdr:col>
      <xdr:colOff>570686</xdr:colOff>
      <xdr:row>22</xdr:row>
      <xdr:rowOff>95095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314A2E9-13FE-40DA-8403-4A9E68D86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19775" y="3886200"/>
          <a:ext cx="6514286" cy="12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13</xdr:col>
      <xdr:colOff>465924</xdr:colOff>
      <xdr:row>27</xdr:row>
      <xdr:rowOff>209410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57BC58C-3914-4613-A26E-5247B996C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19775" y="5257800"/>
          <a:ext cx="6409524" cy="112381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4C146AC5-D1F9-4737-A4AD-9F86A691D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EEF4E458-899B-4B77-96CB-A6CDA6BA0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E7831497-3D03-491F-A329-AD1CA770BE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F82EC95D-0315-4A3A-8E94-79994C24A5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200F7944-D40B-4EDF-A0E3-6ED1BA745F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B698A887-962F-404A-A611-B6209FA1AB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29A0BD6E-F3AD-4B8D-A6A3-E1D4F6019A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61D4065A-8267-4171-9D52-AE272E1FD6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3D977B81-96CF-4BD5-8383-886FF9BD6B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86BCF00B-9448-4FE6-BF97-D5FE0E1C1D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57150</xdr:colOff>
      <xdr:row>1</xdr:row>
      <xdr:rowOff>9525</xdr:rowOff>
    </xdr:from>
    <xdr:to>
      <xdr:col>14</xdr:col>
      <xdr:colOff>780102</xdr:colOff>
      <xdr:row>8</xdr:row>
      <xdr:rowOff>161706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753BEEE-3FE2-4C83-A468-D2264CE89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76925" y="238125"/>
          <a:ext cx="7580952" cy="17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14</xdr:col>
      <xdr:colOff>742000</xdr:colOff>
      <xdr:row>17</xdr:row>
      <xdr:rowOff>95038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CFAD341-906B-4FBB-83FA-E2EBFCAD7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19775" y="2286000"/>
          <a:ext cx="7600000" cy="16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15</xdr:col>
      <xdr:colOff>122849</xdr:colOff>
      <xdr:row>27</xdr:row>
      <xdr:rowOff>104533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9091B5A-27FA-49F8-80C8-84D4D95D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19775" y="4343400"/>
          <a:ext cx="7809524" cy="19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15</xdr:col>
      <xdr:colOff>84753</xdr:colOff>
      <xdr:row>37</xdr:row>
      <xdr:rowOff>75962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12C4C0B-2ECD-44FB-BFBE-1F2F6FC17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19775" y="6629400"/>
          <a:ext cx="7771428" cy="1904762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DEC8DA5C-1A36-4A1F-807C-89478AA1C3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5A7DD8F9-D1CD-4722-900A-BE45F7DF2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D004B52B-EEDB-41F4-83F6-39F053508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C8A96D01-81ED-448C-BEDE-D1A97FE6E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510E4C62-DDB8-4DC1-BF8A-003C3A001C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3946986-1773-4DDD-A239-3654CCEE7F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B0F8A054-FE29-403C-A600-5024F846C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34D8A3C7-EE8A-42DF-A676-3E233DDF1A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14456635-6CF1-45BD-A6AE-7E8FF45DE2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484F3214-7D82-4CE9-8DBF-B44AA0678C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1057835</xdr:colOff>
      <xdr:row>0</xdr:row>
      <xdr:rowOff>62753</xdr:rowOff>
    </xdr:from>
    <xdr:to>
      <xdr:col>13</xdr:col>
      <xdr:colOff>432244</xdr:colOff>
      <xdr:row>13</xdr:row>
      <xdr:rowOff>185063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109660E-D037-4D8C-B499-D7AEBCFF2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58753" y="62753"/>
          <a:ext cx="6904762" cy="31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421342</xdr:colOff>
      <xdr:row>15</xdr:row>
      <xdr:rowOff>170329</xdr:rowOff>
    </xdr:from>
    <xdr:to>
      <xdr:col>13</xdr:col>
      <xdr:colOff>867601</xdr:colOff>
      <xdr:row>27</xdr:row>
      <xdr:rowOff>11435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3FE9691-9101-4B2E-85B1-FBC3E8F74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0777" y="3666564"/>
          <a:ext cx="6838095" cy="26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268942</xdr:colOff>
      <xdr:row>28</xdr:row>
      <xdr:rowOff>26895</xdr:rowOff>
    </xdr:from>
    <xdr:to>
      <xdr:col>13</xdr:col>
      <xdr:colOff>715201</xdr:colOff>
      <xdr:row>38</xdr:row>
      <xdr:rowOff>143691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81D0700-B013-4611-B336-1ECD0F9BD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508377" y="6553201"/>
          <a:ext cx="6838095" cy="24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286870</xdr:colOff>
      <xdr:row>40</xdr:row>
      <xdr:rowOff>125506</xdr:rowOff>
    </xdr:from>
    <xdr:to>
      <xdr:col>13</xdr:col>
      <xdr:colOff>766041</xdr:colOff>
      <xdr:row>50</xdr:row>
      <xdr:rowOff>223253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1049F9A-D7B5-4A34-B712-BCA774356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387788" y="9448800"/>
          <a:ext cx="8009524" cy="2428571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265B6D16-BADA-44C4-B72F-7136F84004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2F9A7851-7C98-43C3-B8B8-94CE6AD5C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31DAF3A5-513D-4121-916B-783DF5C26C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76D90FE2-5BB2-4192-A676-AA775F28BC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7CB257EC-40B6-414E-BE0F-1A69355DD3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A0C7C57D-29D2-4782-A692-AB82462D22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88CC596F-943C-442B-820F-6B1F0A902B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D91F2CC9-607B-4BE2-9C7C-19683283C1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AE8B8688-7CD0-42D4-B6C2-AB3183CD3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16A240EA-05B2-4C80-A565-22BB592DE7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12</xdr:col>
      <xdr:colOff>283370</xdr:colOff>
      <xdr:row>19</xdr:row>
      <xdr:rowOff>4517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CBF58C8-1B11-4F12-8081-5F49B147D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9435" y="233082"/>
          <a:ext cx="5590476" cy="42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21</xdr:row>
      <xdr:rowOff>0</xdr:rowOff>
    </xdr:from>
    <xdr:to>
      <xdr:col>12</xdr:col>
      <xdr:colOff>407180</xdr:colOff>
      <xdr:row>34</xdr:row>
      <xdr:rowOff>112786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32EBC1-9419-4B6D-B5B8-AAE3D292D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9435" y="4894729"/>
          <a:ext cx="5714286" cy="314285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36</xdr:row>
      <xdr:rowOff>0</xdr:rowOff>
    </xdr:from>
    <xdr:to>
      <xdr:col>12</xdr:col>
      <xdr:colOff>654799</xdr:colOff>
      <xdr:row>46</xdr:row>
      <xdr:rowOff>88225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8544BEF-E323-425F-A855-04A72AA9C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9435" y="8390965"/>
          <a:ext cx="5961905" cy="241904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</xdr:row>
      <xdr:rowOff>0</xdr:rowOff>
    </xdr:from>
    <xdr:to>
      <xdr:col>12</xdr:col>
      <xdr:colOff>426227</xdr:colOff>
      <xdr:row>57</xdr:row>
      <xdr:rowOff>16545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CC3EA17-7EDE-49F0-994F-818AFE090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9435" y="11187953"/>
          <a:ext cx="5733333" cy="21142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ABC95269-4D4C-4D41-B0A1-A390DA5780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E2BBF8FD-BA8F-410D-AAE3-393D95796B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0BF0FF15-2971-4FBC-B9FE-E5F90447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BCB9B55-1A79-4D8D-93BD-6177116334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51EE75AA-C436-49D1-8CEA-FCE7C8D86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68E1BB65-96CE-40CA-942F-E98894EE6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AF61C1AD-27F8-4C05-95E0-38C58205A1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B45C74A6-C2BF-4BBC-83EB-0278D72CC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15</xdr:col>
      <xdr:colOff>886363</xdr:colOff>
      <xdr:row>12</xdr:row>
      <xdr:rowOff>126821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9541D1C-CC9D-40D7-9DF6-A86750760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19775" y="0"/>
          <a:ext cx="8573038" cy="287002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15</xdr:col>
      <xdr:colOff>524458</xdr:colOff>
      <xdr:row>23</xdr:row>
      <xdr:rowOff>216545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A2FBA74-D4A9-4F14-90DC-39CCAF0FF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39435" y="3263153"/>
          <a:ext cx="8780952" cy="23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15</xdr:col>
      <xdr:colOff>219696</xdr:colOff>
      <xdr:row>32</xdr:row>
      <xdr:rowOff>44614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263121A-DC90-46B6-A739-B51FAA666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9435" y="5827059"/>
          <a:ext cx="8476190" cy="16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15</xdr:col>
      <xdr:colOff>610173</xdr:colOff>
      <xdr:row>41</xdr:row>
      <xdr:rowOff>97247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6D161F0-C058-4BA2-8A02-2B199CC8F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9435" y="7691718"/>
          <a:ext cx="8866667" cy="196190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0</xdr:row>
      <xdr:rowOff>0</xdr:rowOff>
    </xdr:from>
    <xdr:to>
      <xdr:col>26</xdr:col>
      <xdr:colOff>615666</xdr:colOff>
      <xdr:row>18</xdr:row>
      <xdr:rowOff>142343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FEC775-1195-41B4-BB3C-502712CAC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524514" y="0"/>
          <a:ext cx="5895238" cy="4257143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7264C41B-593B-40E6-BA88-46B0312A15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AB3C30F6-32C8-4BD4-B259-747C77A1BB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DC3DBD97-1AB8-4A25-BCB2-94A5C520A5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2D693C01-2BBE-41B3-AE2F-497FE17A63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02C373F0-64F6-40F6-AC43-A913B65DB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712DA2E1-EE5F-4BEC-BD5C-F597AF8C5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51C619A7-C1F8-41C6-85A9-E4B5440F1A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0EEDE857-953A-49B4-A9EB-954C0D86A9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B66C473A-6BDA-4A93-AB2F-9A89E40FC9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BF2326F7-CD0F-443E-8F90-FB70A37D52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11</xdr:col>
      <xdr:colOff>152425</xdr:colOff>
      <xdr:row>16</xdr:row>
      <xdr:rowOff>218050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9A18161-8E87-4EF3-91AC-97F2CB7D2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9435" y="233082"/>
          <a:ext cx="4276190" cy="37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11</xdr:col>
      <xdr:colOff>209568</xdr:colOff>
      <xdr:row>30</xdr:row>
      <xdr:rowOff>136344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DD642BE-A3B8-42BC-9FD5-BA80D97FB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9435" y="4195482"/>
          <a:ext cx="4333333" cy="29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224118</xdr:colOff>
      <xdr:row>31</xdr:row>
      <xdr:rowOff>107576</xdr:rowOff>
    </xdr:from>
    <xdr:to>
      <xdr:col>11</xdr:col>
      <xdr:colOff>462258</xdr:colOff>
      <xdr:row>44</xdr:row>
      <xdr:rowOff>29886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7D4E7EA-AC99-4D16-9011-AB394491E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63553" y="7333129"/>
          <a:ext cx="4361905" cy="29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11</xdr:col>
      <xdr:colOff>114330</xdr:colOff>
      <xdr:row>58</xdr:row>
      <xdr:rowOff>8025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90341F8-688F-4C5D-8108-3C60EEA94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9435" y="10488706"/>
          <a:ext cx="4238095" cy="3038095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FC3DFAF1-BF78-4DAF-8B83-4BBFC4D0FF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5928F14D-EBC6-47AE-AD0C-E939CCB710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0AB62C36-5F0C-4687-B2AA-C0B510474D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4C725DEA-55EE-4DBB-8E77-45601D97BA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1D2C7050-DF45-44ED-9D8B-BAC42C9CA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B9EDF4B-3501-453B-8B42-F1EDEF2D93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22AFBE94-C808-4058-9165-9C23A5868F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2AFBCC1B-EE9C-46F3-A5F4-B1298F9078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22A6B306-2F7F-4EF4-BC7D-8C141F1E9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4BC04C35-438B-4B2A-B03B-2F46CD7EA2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13</xdr:col>
      <xdr:colOff>576234</xdr:colOff>
      <xdr:row>11</xdr:row>
      <xdr:rowOff>83249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F1A3838-FD7B-4199-AF9A-514D3C657D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0471" y="672353"/>
          <a:ext cx="6952381" cy="18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13</xdr:col>
      <xdr:colOff>290520</xdr:colOff>
      <xdr:row>21</xdr:row>
      <xdr:rowOff>216582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897E7A-0092-470E-8778-EBBE724E8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0471" y="2913529"/>
          <a:ext cx="6666667" cy="20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13</xdr:col>
      <xdr:colOff>100043</xdr:colOff>
      <xdr:row>32</xdr:row>
      <xdr:rowOff>35630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4C4D496-38A4-45CE-B3A8-01C49FE78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0471" y="5378824"/>
          <a:ext cx="6476190" cy="18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34</xdr:row>
      <xdr:rowOff>0</xdr:rowOff>
    </xdr:from>
    <xdr:to>
      <xdr:col>13</xdr:col>
      <xdr:colOff>519091</xdr:colOff>
      <xdr:row>42</xdr:row>
      <xdr:rowOff>121345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9339C3-13C2-49E1-BE64-A85EA6C0E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0471" y="7620000"/>
          <a:ext cx="6895238" cy="1914286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2810363E-5076-4ACD-9EF2-784CAB805C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7376964C-FD3C-4F8A-A994-0BFA94D660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96D24DFE-E7BE-4BB0-BAD8-BE2DB52DA7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41D16538-AEAB-4A0A-B99E-AAE2CF9E26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88644456-A335-40EE-8F07-D964567405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A37CF554-C760-474C-91EE-D5AFAB776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C9384446-49B6-46F7-8FE3-DA22CF28B3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2E029840-3AAD-4BCB-970E-24431DD38C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C737AC95-D89B-419F-84EA-0D501FC686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7538A99C-31FC-454F-AC54-34030F8989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12</xdr:col>
      <xdr:colOff>637433</xdr:colOff>
      <xdr:row>19</xdr:row>
      <xdr:rowOff>47105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ECC795-6CA2-40BC-A7FF-670F00EED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5933333" cy="416190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12</xdr:col>
      <xdr:colOff>656481</xdr:colOff>
      <xdr:row>36</xdr:row>
      <xdr:rowOff>190019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2698DF3-7438-4990-B91B-D9497EF82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4572000"/>
          <a:ext cx="5952381" cy="38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38</xdr:row>
      <xdr:rowOff>0</xdr:rowOff>
    </xdr:from>
    <xdr:to>
      <xdr:col>12</xdr:col>
      <xdr:colOff>151719</xdr:colOff>
      <xdr:row>52</xdr:row>
      <xdr:rowOff>190076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2D8C47-B402-4B8E-BE59-F2FF0658B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8686800"/>
          <a:ext cx="5447619" cy="33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54</xdr:row>
      <xdr:rowOff>0</xdr:rowOff>
    </xdr:from>
    <xdr:to>
      <xdr:col>12</xdr:col>
      <xdr:colOff>713624</xdr:colOff>
      <xdr:row>69</xdr:row>
      <xdr:rowOff>75762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D0A701A-A5DE-426D-84FC-B6B0EB17F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12344400"/>
          <a:ext cx="6009524" cy="3504762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C17BC088-1713-464C-A072-21AE0CA746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CFD3C122-A7A6-483A-97B1-A52FF7D98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EFEAB650-84E2-46B2-A5FE-C96A3DF2F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A9FF7DB9-BD1B-4DA0-B25D-58078971D9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4698E942-8D54-4933-9BCA-2BBCCE282A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182F02FC-06A9-4BC8-8C78-351A262F47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F51D3462-757F-4854-B2E3-221AD8C6E6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6F7CF911-C65B-4BB4-B3CF-E9D7B5481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25B52370-8C58-419D-8E98-3E7B0C478F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87771D10-94D5-4AB9-8866-23AEA21B6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15</xdr:col>
      <xdr:colOff>612303</xdr:colOff>
      <xdr:row>8</xdr:row>
      <xdr:rowOff>171229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683F460-8977-4E23-9FB3-504FE1F421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8857143" cy="1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15</xdr:col>
      <xdr:colOff>545636</xdr:colOff>
      <xdr:row>16</xdr:row>
      <xdr:rowOff>218876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182966C-AA70-47B1-BFF8-475F6128F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2286000"/>
          <a:ext cx="8790476" cy="15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15</xdr:col>
      <xdr:colOff>298017</xdr:colOff>
      <xdr:row>22</xdr:row>
      <xdr:rowOff>57029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D007218-F28F-4BB6-BE24-46220F779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4114800"/>
          <a:ext cx="8542857" cy="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15</xdr:col>
      <xdr:colOff>459922</xdr:colOff>
      <xdr:row>28</xdr:row>
      <xdr:rowOff>37952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098BF14-2FBA-4A74-B912-AD3AF98CA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5257800"/>
          <a:ext cx="8704762" cy="1180952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7C3CB85A-B755-4804-AE93-BBE8929469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36E1A9DD-7D16-4E1D-A970-EAC69731A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CE12D91F-101C-4637-A040-7B9E0944C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2FC19D7-26C9-436C-86C1-375CB77BBC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3F58BEFD-00F7-4CB1-AF3D-0A8C778537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F76946EF-ED9C-4352-BC21-FEB0DCF65B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E942A764-72AD-4D43-8F91-018975A0D3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71AEDFEE-94E2-4B1B-9276-4FAE055251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B1888402-BD0F-48CD-9558-1F88DC32A9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0C0FDC01-0A87-46E0-BFDB-505DDB91B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10</xdr:col>
      <xdr:colOff>132943</xdr:colOff>
      <xdr:row>17</xdr:row>
      <xdr:rowOff>9067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E36FB75-36F4-4E09-816C-5E58EB268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3257143" cy="36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9</xdr:col>
      <xdr:colOff>142595</xdr:colOff>
      <xdr:row>24</xdr:row>
      <xdr:rowOff>123638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B070383-6D47-41E0-8754-40571B722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4114800"/>
          <a:ext cx="2238095" cy="14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9</xdr:col>
      <xdr:colOff>28310</xdr:colOff>
      <xdr:row>33</xdr:row>
      <xdr:rowOff>37895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E22E579-09A4-4D5B-886F-67C2599D4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5943600"/>
          <a:ext cx="2123810" cy="16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60960</xdr:rowOff>
    </xdr:from>
    <xdr:to>
      <xdr:col>9</xdr:col>
      <xdr:colOff>475929</xdr:colOff>
      <xdr:row>40</xdr:row>
      <xdr:rowOff>32189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70B4CE3-6AB6-4B47-9658-6C14A8CD0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7604760"/>
          <a:ext cx="2571429" cy="15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42</xdr:row>
      <xdr:rowOff>0</xdr:rowOff>
    </xdr:from>
    <xdr:to>
      <xdr:col>9</xdr:col>
      <xdr:colOff>523548</xdr:colOff>
      <xdr:row>48</xdr:row>
      <xdr:rowOff>190305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6429F40-B63C-4BF4-8DBC-B1F6404AF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9601200"/>
          <a:ext cx="2619048" cy="1561905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95</xdr:row>
      <xdr:rowOff>76200</xdr:rowOff>
    </xdr:from>
    <xdr:to>
      <xdr:col>1</xdr:col>
      <xdr:colOff>228600</xdr:colOff>
      <xdr:row>98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97430E-2E42-4E8C-8C3F-3345AF3C4D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42875" y="19107150"/>
          <a:ext cx="752475" cy="5048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44268</xdr:colOff>
      <xdr:row>14</xdr:row>
      <xdr:rowOff>70589</xdr:rowOff>
    </xdr:from>
    <xdr:to>
      <xdr:col>16</xdr:col>
      <xdr:colOff>194404</xdr:colOff>
      <xdr:row>18</xdr:row>
      <xdr:rowOff>156314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4529FA2A-11B0-4962-B8F0-F69DEF31EB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1398068" y="2889989"/>
          <a:ext cx="2731411" cy="8477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</xdr:col>
      <xdr:colOff>819150</xdr:colOff>
      <xdr:row>101</xdr:row>
      <xdr:rowOff>133350</xdr:rowOff>
    </xdr:from>
    <xdr:to>
      <xdr:col>3</xdr:col>
      <xdr:colOff>47625</xdr:colOff>
      <xdr:row>104</xdr:row>
      <xdr:rowOff>114300</xdr:rowOff>
    </xdr:to>
    <xdr:pic>
      <xdr:nvPicPr>
        <xdr:cNvPr id="4" name="Picture 38">
          <a:extLst>
            <a:ext uri="{FF2B5EF4-FFF2-40B4-BE49-F238E27FC236}">
              <a16:creationId xmlns:a16="http://schemas.microsoft.com/office/drawing/2014/main" id="{4A9D5A39-2D3B-4F8A-862F-40276634DD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0345400"/>
          <a:ext cx="771525" cy="552450"/>
        </a:xfrm>
        <a:prstGeom prst="rect">
          <a:avLst/>
        </a:prstGeom>
        <a:noFill/>
      </xdr:spPr>
    </xdr:pic>
    <xdr:clientData/>
  </xdr:twoCellAnchor>
  <xdr:twoCellAnchor>
    <xdr:from>
      <xdr:col>1</xdr:col>
      <xdr:colOff>800100</xdr:colOff>
      <xdr:row>108</xdr:row>
      <xdr:rowOff>123825</xdr:rowOff>
    </xdr:from>
    <xdr:to>
      <xdr:col>4</xdr:col>
      <xdr:colOff>809625</xdr:colOff>
      <xdr:row>110</xdr:row>
      <xdr:rowOff>19050</xdr:rowOff>
    </xdr:to>
    <xdr:pic>
      <xdr:nvPicPr>
        <xdr:cNvPr id="5" name="Picture 39">
          <a:extLst>
            <a:ext uri="{FF2B5EF4-FFF2-40B4-BE49-F238E27FC236}">
              <a16:creationId xmlns:a16="http://schemas.microsoft.com/office/drawing/2014/main" id="{03E78E73-0ECB-4911-9593-3124799CC7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1669375"/>
          <a:ext cx="2238375" cy="276225"/>
        </a:xfrm>
        <a:prstGeom prst="rect">
          <a:avLst/>
        </a:prstGeom>
        <a:noFill/>
      </xdr:spPr>
    </xdr:pic>
    <xdr:clientData/>
  </xdr:twoCellAnchor>
  <xdr:twoCellAnchor>
    <xdr:from>
      <xdr:col>3</xdr:col>
      <xdr:colOff>257175</xdr:colOff>
      <xdr:row>102</xdr:row>
      <xdr:rowOff>142875</xdr:rowOff>
    </xdr:from>
    <xdr:to>
      <xdr:col>3</xdr:col>
      <xdr:colOff>819150</xdr:colOff>
      <xdr:row>104</xdr:row>
      <xdr:rowOff>104775</xdr:rowOff>
    </xdr:to>
    <xdr:pic>
      <xdr:nvPicPr>
        <xdr:cNvPr id="6" name="Picture 40">
          <a:extLst>
            <a:ext uri="{FF2B5EF4-FFF2-40B4-BE49-F238E27FC236}">
              <a16:creationId xmlns:a16="http://schemas.microsoft.com/office/drawing/2014/main" id="{3F569B99-15DA-4E61-80F7-81FB53A83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314575" y="20545425"/>
          <a:ext cx="495300" cy="3429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101</xdr:row>
      <xdr:rowOff>28575</xdr:rowOff>
    </xdr:from>
    <xdr:to>
      <xdr:col>1</xdr:col>
      <xdr:colOff>609600</xdr:colOff>
      <xdr:row>104</xdr:row>
      <xdr:rowOff>38100</xdr:rowOff>
    </xdr:to>
    <xdr:pic>
      <xdr:nvPicPr>
        <xdr:cNvPr id="7" name="Picture 41">
          <a:extLst>
            <a:ext uri="{FF2B5EF4-FFF2-40B4-BE49-F238E27FC236}">
              <a16:creationId xmlns:a16="http://schemas.microsoft.com/office/drawing/2014/main" id="{C59D357A-6ED4-4001-BE9E-E7FACC24F6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0240625"/>
          <a:ext cx="1276350" cy="5810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1</xdr:colOff>
      <xdr:row>97</xdr:row>
      <xdr:rowOff>95250</xdr:rowOff>
    </xdr:from>
    <xdr:to>
      <xdr:col>2</xdr:col>
      <xdr:colOff>704851</xdr:colOff>
      <xdr:row>101</xdr:row>
      <xdr:rowOff>89021</xdr:rowOff>
    </xdr:to>
    <xdr:pic>
      <xdr:nvPicPr>
        <xdr:cNvPr id="8" name="Picture 11">
          <a:extLst>
            <a:ext uri="{FF2B5EF4-FFF2-40B4-BE49-F238E27FC236}">
              <a16:creationId xmlns:a16="http://schemas.microsoft.com/office/drawing/2014/main" id="{B41F95E1-8ADF-4CDB-A7D9-D240DE7C1A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" y="19507200"/>
          <a:ext cx="2038350" cy="793871"/>
        </a:xfrm>
        <a:prstGeom prst="rect">
          <a:avLst/>
        </a:prstGeom>
        <a:noFill/>
      </xdr:spPr>
    </xdr:pic>
    <xdr:clientData/>
  </xdr:twoCellAnchor>
  <xdr:twoCellAnchor>
    <xdr:from>
      <xdr:col>0</xdr:col>
      <xdr:colOff>38100</xdr:colOff>
      <xdr:row>104</xdr:row>
      <xdr:rowOff>57150</xdr:rowOff>
    </xdr:from>
    <xdr:to>
      <xdr:col>1</xdr:col>
      <xdr:colOff>0</xdr:colOff>
      <xdr:row>105</xdr:row>
      <xdr:rowOff>133350</xdr:rowOff>
    </xdr:to>
    <xdr:pic>
      <xdr:nvPicPr>
        <xdr:cNvPr id="9" name="Picture 12">
          <a:extLst>
            <a:ext uri="{FF2B5EF4-FFF2-40B4-BE49-F238E27FC236}">
              <a16:creationId xmlns:a16="http://schemas.microsoft.com/office/drawing/2014/main" id="{D61CE906-5BF5-4FD0-83C3-58B83C8ED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38100" y="20840700"/>
          <a:ext cx="628650" cy="2667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105</xdr:row>
      <xdr:rowOff>123825</xdr:rowOff>
    </xdr:from>
    <xdr:to>
      <xdr:col>6</xdr:col>
      <xdr:colOff>171450</xdr:colOff>
      <xdr:row>108</xdr:row>
      <xdr:rowOff>19050</xdr:rowOff>
    </xdr:to>
    <xdr:pic>
      <xdr:nvPicPr>
        <xdr:cNvPr id="10" name="Picture 13">
          <a:extLst>
            <a:ext uri="{FF2B5EF4-FFF2-40B4-BE49-F238E27FC236}">
              <a16:creationId xmlns:a16="http://schemas.microsoft.com/office/drawing/2014/main" id="{7E77B3EE-C403-4C5C-8FCF-F8346EB136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097875"/>
          <a:ext cx="4591050" cy="4667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108</xdr:row>
      <xdr:rowOff>76200</xdr:rowOff>
    </xdr:from>
    <xdr:to>
      <xdr:col>1</xdr:col>
      <xdr:colOff>533400</xdr:colOff>
      <xdr:row>110</xdr:row>
      <xdr:rowOff>123825</xdr:rowOff>
    </xdr:to>
    <xdr:pic>
      <xdr:nvPicPr>
        <xdr:cNvPr id="11" name="Picture 14">
          <a:extLst>
            <a:ext uri="{FF2B5EF4-FFF2-40B4-BE49-F238E27FC236}">
              <a16:creationId xmlns:a16="http://schemas.microsoft.com/office/drawing/2014/main" id="{832FA323-B08E-466B-837F-CF8EF8F3BF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621750"/>
          <a:ext cx="1200150" cy="4286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46503</xdr:colOff>
      <xdr:row>2</xdr:row>
      <xdr:rowOff>52667</xdr:rowOff>
    </xdr:from>
    <xdr:to>
      <xdr:col>14</xdr:col>
      <xdr:colOff>411254</xdr:colOff>
      <xdr:row>6</xdr:row>
      <xdr:rowOff>159683</xdr:rowOff>
    </xdr:to>
    <xdr:pic>
      <xdr:nvPicPr>
        <xdr:cNvPr id="12" name="Picture 1">
          <a:extLst>
            <a:ext uri="{FF2B5EF4-FFF2-40B4-BE49-F238E27FC236}">
              <a16:creationId xmlns:a16="http://schemas.microsoft.com/office/drawing/2014/main" id="{6BAA271B-7A9F-4623-8E48-0EC052209A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r="70353"/>
        <a:stretch>
          <a:fillRect/>
        </a:stretch>
      </xdr:blipFill>
      <xdr:spPr bwMode="auto">
        <a:xfrm>
          <a:off x="11400303" y="500342"/>
          <a:ext cx="1202951" cy="83091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30261</xdr:colOff>
      <xdr:row>8</xdr:row>
      <xdr:rowOff>67233</xdr:rowOff>
    </xdr:from>
    <xdr:to>
      <xdr:col>14</xdr:col>
      <xdr:colOff>480177</xdr:colOff>
      <xdr:row>12</xdr:row>
      <xdr:rowOff>66112</xdr:rowOff>
    </xdr:to>
    <xdr:pic>
      <xdr:nvPicPr>
        <xdr:cNvPr id="13" name="Picture 2">
          <a:extLst>
            <a:ext uri="{FF2B5EF4-FFF2-40B4-BE49-F238E27FC236}">
              <a16:creationId xmlns:a16="http://schemas.microsoft.com/office/drawing/2014/main" id="{5D6FC98B-2D2D-4DFC-A254-FE00BE59D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r="53925"/>
        <a:stretch>
          <a:fillRect/>
        </a:stretch>
      </xdr:blipFill>
      <xdr:spPr bwMode="auto">
        <a:xfrm>
          <a:off x="11384061" y="1667433"/>
          <a:ext cx="1288116" cy="77040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38101</xdr:colOff>
      <xdr:row>64</xdr:row>
      <xdr:rowOff>114300</xdr:rowOff>
    </xdr:from>
    <xdr:to>
      <xdr:col>6</xdr:col>
      <xdr:colOff>485215</xdr:colOff>
      <xdr:row>70</xdr:row>
      <xdr:rowOff>53139</xdr:rowOff>
    </xdr:to>
    <xdr:pic>
      <xdr:nvPicPr>
        <xdr:cNvPr id="14" name="Picture 168">
          <a:extLst>
            <a:ext uri="{FF2B5EF4-FFF2-40B4-BE49-F238E27FC236}">
              <a16:creationId xmlns:a16="http://schemas.microsoft.com/office/drawing/2014/main" id="{E380B534-5577-4DA3-A7D9-F2B6C0C5AB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38101" y="13049250"/>
          <a:ext cx="4866714" cy="11389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112059</xdr:colOff>
      <xdr:row>14</xdr:row>
      <xdr:rowOff>32397</xdr:rowOff>
    </xdr:from>
    <xdr:to>
      <xdr:col>6</xdr:col>
      <xdr:colOff>829236</xdr:colOff>
      <xdr:row>20</xdr:row>
      <xdr:rowOff>22411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6566A95-2E25-4B22-A6EC-F52B541D80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26789" t="23594" r="29713" b="48523"/>
        <a:stretch/>
      </xdr:blipFill>
      <xdr:spPr>
        <a:xfrm>
          <a:off x="2185147" y="2856279"/>
          <a:ext cx="3081618" cy="111060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36E39E78-07A4-41E3-B9EE-559D4FA06C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3A664F43-FEBF-49E3-AB41-5A1C17D1E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0787F37B-DD6F-475F-B8E9-1EC40E30AF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E67E04D-FB55-4D92-BCDE-48DD522201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B7A5DCB4-85A7-4CC4-B5C4-51D22F534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9936E730-EC26-477C-8E57-18B521EE70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275A85B1-688F-45D2-9195-F9E35FB39D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036BB640-C0AB-409A-864D-D3A26D2CE9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DB458753-31B6-439D-9ECA-A0D53509E2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BBE59DF6-BB69-491D-A5AF-892B0D88B7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15</xdr:col>
      <xdr:colOff>418087</xdr:colOff>
      <xdr:row>10</xdr:row>
      <xdr:rowOff>9238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68D1B7F-CD28-4634-A416-0830EFC0F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19775" y="0"/>
          <a:ext cx="8104762" cy="22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0</xdr:rowOff>
    </xdr:from>
    <xdr:to>
      <xdr:col>15</xdr:col>
      <xdr:colOff>503801</xdr:colOff>
      <xdr:row>20</xdr:row>
      <xdr:rowOff>218790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7258160-7C01-400F-BF5C-5185D5D18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19775" y="2514600"/>
          <a:ext cx="8190476" cy="22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14</xdr:col>
      <xdr:colOff>742000</xdr:colOff>
      <xdr:row>31</xdr:row>
      <xdr:rowOff>142600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CCE949D-0CD4-45A2-AB56-0F5D4A16D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19775" y="5029200"/>
          <a:ext cx="7600000" cy="22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15</xdr:col>
      <xdr:colOff>456182</xdr:colOff>
      <xdr:row>43</xdr:row>
      <xdr:rowOff>152095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9F8AC83-47BF-47A5-BD59-472B38C65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19775" y="7543800"/>
          <a:ext cx="8142857" cy="2438095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CADE4F36-37C3-4537-AE10-125A1BE58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4446C10D-86D2-4F5A-B516-BC74279B65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AE7D6605-DF24-49B7-A38F-EA5EE6C424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E56BC608-BCB3-4701-9906-EDA244F05E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F169B9B1-8575-41FB-AF00-BD4CD76841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31D39266-4D0A-473F-A170-83EDDE7AE6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6703F365-AA5D-479D-A224-03C88D04F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84EBBFDA-6050-4912-B2C1-5922F6275C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3366688C-DA71-40B0-A27D-8FF681F78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1B374EC0-793E-41B0-A52E-001D3B81B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53788</xdr:colOff>
      <xdr:row>0</xdr:row>
      <xdr:rowOff>0</xdr:rowOff>
    </xdr:from>
    <xdr:to>
      <xdr:col>13</xdr:col>
      <xdr:colOff>104419</xdr:colOff>
      <xdr:row>29</xdr:row>
      <xdr:rowOff>113457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A4A138C-0D47-4EEA-AD5A-C0A2746F4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93223" y="0"/>
          <a:ext cx="6442467" cy="687284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14</xdr:col>
      <xdr:colOff>135773</xdr:colOff>
      <xdr:row>41</xdr:row>
      <xdr:rowOff>217047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0B270D-147F-4DB2-89D4-634962105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9435" y="6992471"/>
          <a:ext cx="7504762" cy="278095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43</xdr:row>
      <xdr:rowOff>0</xdr:rowOff>
    </xdr:from>
    <xdr:to>
      <xdr:col>13</xdr:col>
      <xdr:colOff>941497</xdr:colOff>
      <xdr:row>52</xdr:row>
      <xdr:rowOff>207021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5138666-AC2F-4C2A-B9BF-07077C7DE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9435" y="10022541"/>
          <a:ext cx="7333333" cy="2304762"/>
        </a:xfrm>
        <a:prstGeom prst="rect">
          <a:avLst/>
        </a:prstGeom>
      </xdr:spPr>
    </xdr:pic>
    <xdr:clientData/>
  </xdr:twoCellAnchor>
  <xdr:twoCellAnchor editAs="oneCell">
    <xdr:from>
      <xdr:col>6</xdr:col>
      <xdr:colOff>672352</xdr:colOff>
      <xdr:row>53</xdr:row>
      <xdr:rowOff>125505</xdr:rowOff>
    </xdr:from>
    <xdr:to>
      <xdr:col>13</xdr:col>
      <xdr:colOff>189618</xdr:colOff>
      <xdr:row>63</xdr:row>
      <xdr:rowOff>166111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0B82445-5562-47F0-89FA-9D2C72DB3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773270" y="12478870"/>
          <a:ext cx="7047619" cy="23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65</xdr:row>
      <xdr:rowOff>0</xdr:rowOff>
    </xdr:from>
    <xdr:to>
      <xdr:col>14</xdr:col>
      <xdr:colOff>278630</xdr:colOff>
      <xdr:row>74</xdr:row>
      <xdr:rowOff>121307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11803D-A170-4EC8-BEBC-CFEC3922D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9435" y="15150353"/>
          <a:ext cx="7647619" cy="221904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89910FC2-398F-46DB-AFB3-897CEAC0E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21D42357-32B8-4B16-BA08-E4A4148AEF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11308699-7336-46FA-B8DA-762CE3F93A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8DC7A981-6F2C-4DFC-A94D-259E9744DA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679D51D3-0524-4059-A178-9F3F3722F2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CC99065-E247-47D8-B461-C7FF75E12D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E0E1DD67-ACA6-4B8F-9C6F-69A0EFFB87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EE9E7F87-722B-4712-BAB0-F19206083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10</xdr:col>
      <xdr:colOff>428181</xdr:colOff>
      <xdr:row>16</xdr:row>
      <xdr:rowOff>132876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5D5D28-5A07-4EDB-A177-0ECDCF26C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37514" y="0"/>
          <a:ext cx="3552381" cy="37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13</xdr:col>
      <xdr:colOff>782876</xdr:colOff>
      <xdr:row>26</xdr:row>
      <xdr:rowOff>47390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3A890B9-9ECE-4645-B539-6042E0FCC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37514" y="4114800"/>
          <a:ext cx="7161905" cy="18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27</xdr:row>
      <xdr:rowOff>0</xdr:rowOff>
    </xdr:from>
    <xdr:to>
      <xdr:col>13</xdr:col>
      <xdr:colOff>554304</xdr:colOff>
      <xdr:row>34</xdr:row>
      <xdr:rowOff>18848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F683FF2-7A1F-4410-8ABE-4F3CE9D26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7514" y="6172200"/>
          <a:ext cx="6933333" cy="161904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35</xdr:row>
      <xdr:rowOff>0</xdr:rowOff>
    </xdr:from>
    <xdr:to>
      <xdr:col>13</xdr:col>
      <xdr:colOff>573352</xdr:colOff>
      <xdr:row>41</xdr:row>
      <xdr:rowOff>95067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BBF5692-FC8E-4F73-B21A-C7F04886B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7514" y="8001000"/>
          <a:ext cx="6952381" cy="14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43</xdr:row>
      <xdr:rowOff>0</xdr:rowOff>
    </xdr:from>
    <xdr:to>
      <xdr:col>14</xdr:col>
      <xdr:colOff>593638</xdr:colOff>
      <xdr:row>49</xdr:row>
      <xdr:rowOff>133162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6E4FFBE-0EA1-4498-A02C-378A93204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7514" y="9829800"/>
          <a:ext cx="7952381" cy="1504762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5D4FAAAB-F65C-4733-858E-F5349F759A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585EBB0B-88D6-4243-AFBC-0B137419B2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85F08286-5D84-4A3B-A892-B16E2AC7E0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661DEE1-4370-431A-991A-477E127B91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58B8AE83-C77E-45AD-8C1B-5F0717380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6607A83C-199F-4E37-B783-39685792D9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59BF0D86-26BB-4B5F-AC23-4C526B1573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9F1E0A49-75BA-4912-9E6D-9C377C9EDF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10</xdr:col>
      <xdr:colOff>618657</xdr:colOff>
      <xdr:row>17</xdr:row>
      <xdr:rowOff>151895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2AC92A1-2247-4763-A870-80B97AB2F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37514" y="0"/>
          <a:ext cx="3742857" cy="4038095"/>
        </a:xfrm>
        <a:prstGeom prst="rect">
          <a:avLst/>
        </a:prstGeom>
      </xdr:spPr>
    </xdr:pic>
    <xdr:clientData/>
  </xdr:twoCellAnchor>
  <xdr:twoCellAnchor editAs="oneCell">
    <xdr:from>
      <xdr:col>8</xdr:col>
      <xdr:colOff>195942</xdr:colOff>
      <xdr:row>18</xdr:row>
      <xdr:rowOff>195943</xdr:rowOff>
    </xdr:from>
    <xdr:to>
      <xdr:col>15</xdr:col>
      <xdr:colOff>574618</xdr:colOff>
      <xdr:row>26</xdr:row>
      <xdr:rowOff>100476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C8C2367-66AE-4F70-9745-2876804FE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58742" y="4310743"/>
          <a:ext cx="7704762" cy="17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15</xdr:col>
      <xdr:colOff>158152</xdr:colOff>
      <xdr:row>35</xdr:row>
      <xdr:rowOff>66467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B53BF3D-919D-42E5-A9F8-BC370F4C1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7514" y="6400800"/>
          <a:ext cx="8409524" cy="16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36</xdr:row>
      <xdr:rowOff>0</xdr:rowOff>
    </xdr:from>
    <xdr:to>
      <xdr:col>14</xdr:col>
      <xdr:colOff>117447</xdr:colOff>
      <xdr:row>42</xdr:row>
      <xdr:rowOff>66495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5C90281-AEA9-49F8-8811-C00B9A7DA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7514" y="8229600"/>
          <a:ext cx="7476190" cy="1438095"/>
        </a:xfrm>
        <a:prstGeom prst="rect">
          <a:avLst/>
        </a:prstGeom>
      </xdr:spPr>
    </xdr:pic>
    <xdr:clientData/>
  </xdr:twoCellAnchor>
  <xdr:twoCellAnchor editAs="oneCell">
    <xdr:from>
      <xdr:col>6</xdr:col>
      <xdr:colOff>838199</xdr:colOff>
      <xdr:row>43</xdr:row>
      <xdr:rowOff>152400</xdr:rowOff>
    </xdr:from>
    <xdr:to>
      <xdr:col>14</xdr:col>
      <xdr:colOff>509247</xdr:colOff>
      <xdr:row>49</xdr:row>
      <xdr:rowOff>47467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29A8620-25A4-45AF-9116-A3B47E6FC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43599" y="9982200"/>
          <a:ext cx="8161905" cy="126666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0F2D7D5-1608-4CDD-921E-F6462D012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E000F5B1-D8F7-4A83-AE4C-5618E6CC49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5D921101-FBD4-416C-8087-D647EF6874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D6C524F9-A574-4796-A78B-A847D58B2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ED4C5456-4EDC-473C-A3D0-83CA3F6312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B264B030-A9C9-4F80-9BD4-D44FE38663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378F4867-E4B2-4B1E-97CE-690BE65F81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3A04311A-201E-498C-84F5-CBE573337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490225C5-CA44-4BD0-923D-8BCF6C3BF5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54F3E198-6696-4DE8-993B-8A77702735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13</xdr:col>
      <xdr:colOff>617688</xdr:colOff>
      <xdr:row>12</xdr:row>
      <xdr:rowOff>98250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E52A59F-55C8-46DB-922D-0F43ADC0B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9435" y="0"/>
          <a:ext cx="7009524" cy="28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13</xdr:col>
      <xdr:colOff>255783</xdr:colOff>
      <xdr:row>23</xdr:row>
      <xdr:rowOff>207021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5A566A6-3570-407C-A0FE-FAC2774CD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9435" y="3263153"/>
          <a:ext cx="6647619" cy="23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13</xdr:col>
      <xdr:colOff>198640</xdr:colOff>
      <xdr:row>34</xdr:row>
      <xdr:rowOff>1979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55143C1-2FB5-4D2F-BE21-9B6EFA694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9435" y="5827059"/>
          <a:ext cx="6590476" cy="20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8964</xdr:colOff>
      <xdr:row>33</xdr:row>
      <xdr:rowOff>224117</xdr:rowOff>
    </xdr:from>
    <xdr:to>
      <xdr:col>13</xdr:col>
      <xdr:colOff>588556</xdr:colOff>
      <xdr:row>43</xdr:row>
      <xdr:rowOff>7580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D6F93CE-F273-47B7-AF8B-A6AFA8E3A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48399" y="7915835"/>
          <a:ext cx="6971428" cy="2114286"/>
        </a:xfrm>
        <a:prstGeom prst="rect">
          <a:avLst/>
        </a:prstGeom>
      </xdr:spPr>
    </xdr:pic>
    <xdr:clientData/>
  </xdr:twoCellAnchor>
  <xdr:twoCellAnchor editAs="oneCell">
    <xdr:from>
      <xdr:col>13</xdr:col>
      <xdr:colOff>886691</xdr:colOff>
      <xdr:row>0</xdr:row>
      <xdr:rowOff>166255</xdr:rowOff>
    </xdr:from>
    <xdr:to>
      <xdr:col>19</xdr:col>
      <xdr:colOff>197705</xdr:colOff>
      <xdr:row>13</xdr:row>
      <xdr:rowOff>180590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5A01CF3-C6FD-46DA-A205-FCED2F514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995564" y="166255"/>
          <a:ext cx="4714286" cy="307619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37D8E09F-E559-403A-8FD9-237AD78EF6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AFCE3D8C-C3A1-4B9D-89FF-915EF16497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592158CA-F8A9-46EA-B240-EA1B42B18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22BC08DB-D152-4150-8BFF-6F391719C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CA8F70C3-4892-4E6B-AB84-04A6171188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DBD2F133-E202-419F-97E6-4153D8AD33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B2FA3D6C-9157-487D-820D-ACCF002E43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9B631B92-8799-4CAB-915F-59E2BED390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4C505873-2B4C-454E-BD9C-DFBCBDD305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F2D062D8-146F-4C6E-87A2-25F7A1F4A5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4D245350-1DA8-465D-BC5E-BE077128D6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7C33911A-BD92-4BE0-BA4E-78AC910F44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070946BF-340B-47D8-989D-C60DCED27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338A0D25-67B1-40E4-B03C-4812EC48A4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6CC4F72D-D159-4A88-884F-4E11498E1D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A46488D9-955C-49D2-8DC8-310BDCF23E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9791D599-A64B-4433-BBC3-9716B76175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BBB805EA-B877-46A7-AA0B-750C368C7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7075C986-5B2B-4F68-9087-ECBF7B62EC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9AD3F972-B239-49B5-867F-352D70A00C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9</xdr:col>
      <xdr:colOff>342595</xdr:colOff>
      <xdr:row>13</xdr:row>
      <xdr:rowOff>123438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40821E1-B132-400E-9E63-73F291F24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2438095" cy="30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10</xdr:col>
      <xdr:colOff>494848</xdr:colOff>
      <xdr:row>30</xdr:row>
      <xdr:rowOff>151924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CF097C4-A78C-48C9-BB97-B1DCBF63D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3200400"/>
          <a:ext cx="3619048" cy="38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106680</xdr:colOff>
      <xdr:row>33</xdr:row>
      <xdr:rowOff>0</xdr:rowOff>
    </xdr:from>
    <xdr:to>
      <xdr:col>11</xdr:col>
      <xdr:colOff>306166</xdr:colOff>
      <xdr:row>44</xdr:row>
      <xdr:rowOff>209209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41A68E-862B-4953-BC5A-E0C6E25B3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339840" y="7543800"/>
          <a:ext cx="4314286" cy="272380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45</xdr:row>
      <xdr:rowOff>0</xdr:rowOff>
    </xdr:from>
    <xdr:to>
      <xdr:col>11</xdr:col>
      <xdr:colOff>151867</xdr:colOff>
      <xdr:row>53</xdr:row>
      <xdr:rowOff>85486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E000AF8-2CAA-4665-9CD9-75F377B81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10287000"/>
          <a:ext cx="4266667" cy="19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54</xdr:row>
      <xdr:rowOff>0</xdr:rowOff>
    </xdr:from>
    <xdr:to>
      <xdr:col>11</xdr:col>
      <xdr:colOff>380438</xdr:colOff>
      <xdr:row>61</xdr:row>
      <xdr:rowOff>180752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BB56123-3F4F-44FD-A527-A5CF794B2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12344400"/>
          <a:ext cx="4495238" cy="1780952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51E2AFEB-AEA0-471D-A279-69028AD3B2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B971E03D-9FEA-4EF1-9C41-A767E2F00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44FE4FE1-AC65-4E22-A2B0-E58C46959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85EF9AD2-A893-47C0-A5D4-C69DD45A7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A3DA867E-D70C-4A55-8DF1-15E72B750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F982F545-5437-489B-A1F1-CCE07AD0A8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74B70661-D976-4A68-8E56-3ECD2899C3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042FF61B-95FA-4636-B639-AC79B54228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6D9D746B-2787-4A9E-9591-4CA5938CB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8ABD3D2C-9F7D-4632-A6C1-13B25B352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58</xdr:row>
      <xdr:rowOff>0</xdr:rowOff>
    </xdr:from>
    <xdr:to>
      <xdr:col>15</xdr:col>
      <xdr:colOff>24818</xdr:colOff>
      <xdr:row>65</xdr:row>
      <xdr:rowOff>171229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041557F-B81C-4476-A0A0-5E70A969FE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7514" y="13258800"/>
          <a:ext cx="8276190" cy="1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1</xdr:row>
      <xdr:rowOff>19050</xdr:rowOff>
    </xdr:from>
    <xdr:to>
      <xdr:col>12</xdr:col>
      <xdr:colOff>713677</xdr:colOff>
      <xdr:row>10</xdr:row>
      <xdr:rowOff>94983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AB86E60-C1E6-4EE2-A653-C3219FDD1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86450" y="247650"/>
          <a:ext cx="5580952" cy="21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0</xdr:rowOff>
    </xdr:from>
    <xdr:to>
      <xdr:col>12</xdr:col>
      <xdr:colOff>723193</xdr:colOff>
      <xdr:row>18</xdr:row>
      <xdr:rowOff>9324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A7541C5-2F42-43B0-8DBA-E3CA9E11C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19775" y="2514600"/>
          <a:ext cx="5657143" cy="16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12</xdr:col>
      <xdr:colOff>247002</xdr:colOff>
      <xdr:row>25</xdr:row>
      <xdr:rowOff>104590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BECC632-0829-4E4D-9C04-83535C3D7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19775" y="4343400"/>
          <a:ext cx="5180952" cy="14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12</xdr:col>
      <xdr:colOff>942240</xdr:colOff>
      <xdr:row>33</xdr:row>
      <xdr:rowOff>133133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7877383-9D47-425D-8A48-20652F88C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819775" y="5943600"/>
          <a:ext cx="5876190" cy="1733333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B8352E4B-0E0D-487F-95ED-2D3F04C201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1CFB6AC7-8444-466F-8712-AF664DF3DE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A6A42926-5398-45DC-A333-05B702F2A2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EDCDE20F-18F4-4AE3-B270-4433651905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4BE599A4-4158-4820-9469-EB7263E5EF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0C1E0E88-1D46-4CE6-8963-8FF8AC083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FCED3770-9F71-4BA4-B453-1DAAE22A2B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1081FDA9-434E-4634-8D1B-27C663C317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DDF08DFD-D73F-4E20-AC87-CAF911789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2FD4F3D1-3F58-4F79-8627-CEC57297D0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9</xdr:col>
      <xdr:colOff>952117</xdr:colOff>
      <xdr:row>17</xdr:row>
      <xdr:rowOff>151895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F3E8680-C9BE-48F5-88AD-155498AA8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3066667" cy="4038095"/>
        </a:xfrm>
        <a:prstGeom prst="rect">
          <a:avLst/>
        </a:prstGeom>
      </xdr:spPr>
    </xdr:pic>
    <xdr:clientData/>
  </xdr:twoCellAnchor>
  <xdr:twoCellAnchor editAs="oneCell">
    <xdr:from>
      <xdr:col>6</xdr:col>
      <xdr:colOff>1043940</xdr:colOff>
      <xdr:row>18</xdr:row>
      <xdr:rowOff>220980</xdr:rowOff>
    </xdr:from>
    <xdr:to>
      <xdr:col>12</xdr:col>
      <xdr:colOff>784089</xdr:colOff>
      <xdr:row>31</xdr:row>
      <xdr:rowOff>192037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FE0D9A5-A4FF-4859-85D2-63A829C2E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41720" y="4335780"/>
          <a:ext cx="6171429" cy="294285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12</xdr:col>
      <xdr:colOff>589814</xdr:colOff>
      <xdr:row>44</xdr:row>
      <xdr:rowOff>171114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D8E0C21-D57C-4527-B519-A8E1A057B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7543800"/>
          <a:ext cx="5885714" cy="26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46</xdr:row>
      <xdr:rowOff>0</xdr:rowOff>
    </xdr:from>
    <xdr:to>
      <xdr:col>12</xdr:col>
      <xdr:colOff>685052</xdr:colOff>
      <xdr:row>55</xdr:row>
      <xdr:rowOff>218790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21E1033-DAEB-4109-B6C6-F002075AA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10515600"/>
          <a:ext cx="5980952" cy="22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320040</xdr:colOff>
      <xdr:row>57</xdr:row>
      <xdr:rowOff>15240</xdr:rowOff>
    </xdr:from>
    <xdr:to>
      <xdr:col>14</xdr:col>
      <xdr:colOff>452454</xdr:colOff>
      <xdr:row>66</xdr:row>
      <xdr:rowOff>129269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F18E1CF-45BC-42BF-9A8C-52F1537BE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553200" y="13045440"/>
          <a:ext cx="7485714" cy="2171429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3B967550-A7C6-47DD-9748-3A3AE794E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472642" y="2677645"/>
          <a:ext cx="4124326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03A2EFDC-DEC9-4AEC-85AA-644930C18D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7487900" y="2143125"/>
          <a:ext cx="93345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1B35789F-2DBE-43C1-8241-792843C3E0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59501" y="2276475"/>
          <a:ext cx="88582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F4DAC2DD-C73B-4050-A380-CD6E14851B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7659350" y="3829050"/>
          <a:ext cx="108585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358788DE-48CB-4706-A988-BEE8076CC9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7611725" y="3276600"/>
          <a:ext cx="82867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F712C978-CD5D-4DAD-8A58-67A312DD2D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050125" y="1819275"/>
          <a:ext cx="83820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B58008DA-4560-412C-A421-8E8076C842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050125" y="2743200"/>
          <a:ext cx="85725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748EA6A2-7EF5-4648-BE4D-178ECFAE47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16650" y="3238500"/>
          <a:ext cx="418147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04160A13-6530-4051-8DF3-D139805F9A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4801850" y="2133600"/>
          <a:ext cx="1562100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7A15F0F8-35DB-494B-8649-299BCB9E87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4801850" y="2743200"/>
          <a:ext cx="1543050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58</xdr:row>
      <xdr:rowOff>0</xdr:rowOff>
    </xdr:from>
    <xdr:to>
      <xdr:col>15</xdr:col>
      <xdr:colOff>24818</xdr:colOff>
      <xdr:row>65</xdr:row>
      <xdr:rowOff>171229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E1AA799-F16B-4900-8370-307A7402D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19775" y="13258800"/>
          <a:ext cx="7711493" cy="17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10</xdr:col>
      <xdr:colOff>161542</xdr:colOff>
      <xdr:row>8</xdr:row>
      <xdr:rowOff>133162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1B650D2-F1CE-4D5B-8E61-9D2B67ACF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19775" y="457200"/>
          <a:ext cx="3066667" cy="15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</xdr:row>
      <xdr:rowOff>0</xdr:rowOff>
    </xdr:from>
    <xdr:to>
      <xdr:col>10</xdr:col>
      <xdr:colOff>190113</xdr:colOff>
      <xdr:row>17</xdr:row>
      <xdr:rowOff>114114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D415702-4366-4AAD-80D1-958875B57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19775" y="2514600"/>
          <a:ext cx="3095238" cy="14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10</xdr:col>
      <xdr:colOff>285351</xdr:colOff>
      <xdr:row>25</xdr:row>
      <xdr:rowOff>47448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83CCAF8-8918-4AC6-8249-09EBF6277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19775" y="4343400"/>
          <a:ext cx="3190476" cy="141904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10</xdr:col>
      <xdr:colOff>447256</xdr:colOff>
      <xdr:row>30</xdr:row>
      <xdr:rowOff>18933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CBF276C-B20E-4C6C-92EF-9E06D0292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819775" y="5943600"/>
          <a:ext cx="3352381" cy="933333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AFF9025F-44B0-4755-8E2F-8B883B3BEA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26968053-2E85-4E5E-A07C-FD57784F7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7D563AAC-FB5E-42BB-9D6C-324DF6318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57CCB1B5-E979-4991-9585-E306E5A3D3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8D5F8F02-38DA-4478-9162-E5FC65FE49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945B1C13-5D43-4C51-8A54-DEF41EB2E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60F4CA93-E061-4BE2-869C-B792999137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EC904F8-A7D1-4193-8268-28C97A1840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4AEE1909-05AC-4F8F-ACDB-B051A4C852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3393B895-05E6-4E43-918E-581C1242FB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9</xdr:col>
      <xdr:colOff>266405</xdr:colOff>
      <xdr:row>12</xdr:row>
      <xdr:rowOff>218705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2E92D2-6784-406A-9413-77EC05893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2361905" cy="296190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9</xdr:col>
      <xdr:colOff>380690</xdr:colOff>
      <xdr:row>28</xdr:row>
      <xdr:rowOff>142457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7690CA5-4B1E-4ED5-9B0C-A8FB4AE76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3200400"/>
          <a:ext cx="2476190" cy="334285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9</xdr:col>
      <xdr:colOff>380690</xdr:colOff>
      <xdr:row>40</xdr:row>
      <xdr:rowOff>228286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3B01809-92CD-4F0B-901B-142F42254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6858000"/>
          <a:ext cx="2476190" cy="25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42</xdr:row>
      <xdr:rowOff>0</xdr:rowOff>
    </xdr:from>
    <xdr:to>
      <xdr:col>9</xdr:col>
      <xdr:colOff>714024</xdr:colOff>
      <xdr:row>50</xdr:row>
      <xdr:rowOff>37867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30AB581-3DF7-40F8-A964-0A93AD3F0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9601200"/>
          <a:ext cx="2809524" cy="18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51</xdr:row>
      <xdr:rowOff>0</xdr:rowOff>
    </xdr:from>
    <xdr:to>
      <xdr:col>9</xdr:col>
      <xdr:colOff>742595</xdr:colOff>
      <xdr:row>60</xdr:row>
      <xdr:rowOff>56886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D09E4C3-E5C0-4C50-8C70-058F4324E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11658600"/>
          <a:ext cx="2838095" cy="211428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F2E4A706-9C4D-4D09-80BF-DB5819CAEA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61A0D405-5093-4671-A594-8FE4CBA7DD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5C8E814B-FB5D-4522-AE2C-72C5820C7A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BCB9A43-6059-432D-903E-0747114099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21705CFD-288F-4954-A25C-7A2333EBEF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B100F043-4059-47E5-AB07-42D4ABF0BE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BDC42CD9-B6BD-4BE3-BF55-0362E27A31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4CF20DEE-6068-49E4-8D41-AB19F4F132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5F13E9AD-549E-4543-BFF9-BC3D905763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7CF3BF43-5667-4E75-9131-11688C1441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9</xdr:col>
      <xdr:colOff>780690</xdr:colOff>
      <xdr:row>15</xdr:row>
      <xdr:rowOff>94838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7702966-317C-4826-BC7F-46A206748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2876190" cy="32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841789</xdr:colOff>
      <xdr:row>28</xdr:row>
      <xdr:rowOff>123467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1A69F37-3787-4D86-87B6-240C53FAD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3657600"/>
          <a:ext cx="1771429" cy="28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8</xdr:col>
      <xdr:colOff>794170</xdr:colOff>
      <xdr:row>38</xdr:row>
      <xdr:rowOff>199743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4469422-A964-466E-BE6E-2B0946F26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6629400"/>
          <a:ext cx="1723810" cy="22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8</xdr:col>
      <xdr:colOff>937027</xdr:colOff>
      <xdr:row>44</xdr:row>
      <xdr:rowOff>228457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0D620A5-9B23-4E41-B612-BE50E5A79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9144000"/>
          <a:ext cx="1866667" cy="114285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46</xdr:row>
      <xdr:rowOff>0</xdr:rowOff>
    </xdr:from>
    <xdr:to>
      <xdr:col>8</xdr:col>
      <xdr:colOff>622741</xdr:colOff>
      <xdr:row>53</xdr:row>
      <xdr:rowOff>47419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0B2EDEA-67C4-4DA2-85D9-73861AFC2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10515600"/>
          <a:ext cx="1552381" cy="1647619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EB69461-B0BF-436B-88DD-748BDD4DD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938A89C3-2112-4421-BAA7-943E410332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B041F2DD-8373-4F4B-8FBC-5CA44F49E7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AD0CF272-039B-494E-9344-ACDB73675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13071A4D-7C19-4D76-B631-5A11B27CD8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A44F757-E52F-49B4-97FB-50FC25BD1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ED13BD97-4923-49AC-9250-7E7E6773E2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4D5B81F3-5F73-4F90-AA79-56CCFE2470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A1F208BA-3553-4328-ABA9-6F0B7B01A4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76336DB7-17DC-42D0-8D04-1EC63A37BE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9</xdr:col>
      <xdr:colOff>304500</xdr:colOff>
      <xdr:row>12</xdr:row>
      <xdr:rowOff>228229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C6D558C-2456-412B-99D0-36C8DE475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2400000" cy="2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11</xdr:col>
      <xdr:colOff>151868</xdr:colOff>
      <xdr:row>20</xdr:row>
      <xdr:rowOff>104619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CEC38CD-B846-4F13-BF87-928D7EF69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3429000"/>
          <a:ext cx="4257143" cy="12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21</xdr:row>
      <xdr:rowOff>0</xdr:rowOff>
    </xdr:from>
    <xdr:to>
      <xdr:col>11</xdr:col>
      <xdr:colOff>113773</xdr:colOff>
      <xdr:row>26</xdr:row>
      <xdr:rowOff>180810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CC84997-948A-4387-B05B-4CAD239F3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4800600"/>
          <a:ext cx="4219048" cy="13238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11</xdr:col>
      <xdr:colOff>142344</xdr:colOff>
      <xdr:row>33</xdr:row>
      <xdr:rowOff>209381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22CC71F-C517-48CF-94AF-4C19EE7EE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6400800"/>
          <a:ext cx="4247619" cy="13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35</xdr:row>
      <xdr:rowOff>0</xdr:rowOff>
    </xdr:from>
    <xdr:to>
      <xdr:col>11</xdr:col>
      <xdr:colOff>228058</xdr:colOff>
      <xdr:row>41</xdr:row>
      <xdr:rowOff>114114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BCE0E77-D689-4A4A-AF11-7401EB24E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8875" y="8001000"/>
          <a:ext cx="4333333" cy="1485714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E9F80392-6685-4C2B-A85D-CDF04DF69C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5A43FCB7-C574-4A08-84C9-0CA88D048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501109D2-B7B7-4C8A-B3EA-403B8F943B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A1C7F2D3-7093-4C59-A132-0B6B2C2858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1F9AFCE1-598B-49A6-AD5E-274625B269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DAF64D10-9C69-4C84-B59B-99C5ACAB61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80DB397C-2B8B-415F-9693-5377E3793E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22907A9-189D-47DB-BBB2-E731884B02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E6B559D3-DC7F-4730-8BCD-F68E1A4645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D105F556-A813-4028-B534-4B7E1E0507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9</xdr:col>
      <xdr:colOff>879230</xdr:colOff>
      <xdr:row>16</xdr:row>
      <xdr:rowOff>138285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6042CF9-7BEA-4A85-B090-775457A8C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6677" y="0"/>
          <a:ext cx="2977661" cy="379588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12</xdr:col>
      <xdr:colOff>167967</xdr:colOff>
      <xdr:row>26</xdr:row>
      <xdr:rowOff>145462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76C6020-8A8F-445D-BCE9-4C32179A8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0471" y="4258235"/>
          <a:ext cx="5457143" cy="17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12</xdr:col>
      <xdr:colOff>34633</xdr:colOff>
      <xdr:row>37</xdr:row>
      <xdr:rowOff>59131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A36CDE2-A766-406A-BA9C-9CC0E99A6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0471" y="6275294"/>
          <a:ext cx="5323809" cy="20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11</xdr:col>
      <xdr:colOff>1165314</xdr:colOff>
      <xdr:row>44</xdr:row>
      <xdr:rowOff>203222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AC209EC-9261-45D1-971A-A3C5A3279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0471" y="8740588"/>
          <a:ext cx="5266667" cy="13238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46</xdr:row>
      <xdr:rowOff>0</xdr:rowOff>
    </xdr:from>
    <xdr:to>
      <xdr:col>12</xdr:col>
      <xdr:colOff>320348</xdr:colOff>
      <xdr:row>50</xdr:row>
      <xdr:rowOff>208292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0889D79-FE76-4FDD-A303-19D8330F0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0471" y="10309412"/>
          <a:ext cx="5609524" cy="1104762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9BC18CA1-8D34-434E-BF3F-F02CD352D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2144F6A0-A5F6-45FA-9FF0-A5B6D7AB7B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7002C574-CFA8-466E-BE31-ECB0C94E6D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2544F3AA-B274-4AD6-9764-BEF11DBC6B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BE507872-1BBC-4344-BD52-7B140C917C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536AE0E6-B6C1-44E7-8E66-AD4494A9D9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5E82E098-E6FE-47AF-8BA7-DC45408703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4E1AB2C8-1E6E-4A8E-9321-EDF874B0B9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3F3DCC35-A00F-4CE7-9FD8-1A93DD653F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F36F1CA9-7D10-4BD6-9388-253A7AAB35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9</xdr:col>
      <xdr:colOff>879230</xdr:colOff>
      <xdr:row>16</xdr:row>
      <xdr:rowOff>138285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5324052-5423-49D9-84C9-842082358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8875" y="0"/>
          <a:ext cx="2974730" cy="379588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12</xdr:col>
      <xdr:colOff>167967</xdr:colOff>
      <xdr:row>26</xdr:row>
      <xdr:rowOff>145462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8E5484-1DC4-4BDC-B259-703957228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4343400"/>
          <a:ext cx="5463867" cy="17456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12</xdr:col>
      <xdr:colOff>34633</xdr:colOff>
      <xdr:row>37</xdr:row>
      <xdr:rowOff>59131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08CBA2-4E7F-4BF9-A652-B8E4FCA9E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6400800"/>
          <a:ext cx="5330533" cy="211653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11</xdr:col>
      <xdr:colOff>1165314</xdr:colOff>
      <xdr:row>44</xdr:row>
      <xdr:rowOff>203222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D00A439-7F0A-444E-90C3-21262A61D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8915400"/>
          <a:ext cx="5270589" cy="134622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46</xdr:row>
      <xdr:rowOff>0</xdr:rowOff>
    </xdr:from>
    <xdr:to>
      <xdr:col>12</xdr:col>
      <xdr:colOff>320348</xdr:colOff>
      <xdr:row>50</xdr:row>
      <xdr:rowOff>208292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4B9F996-589A-4C6E-9381-CD2FC53FC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8875" y="10515600"/>
          <a:ext cx="5616248" cy="112269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DE1B2A31-7730-44C2-B0FB-8B72B2F15E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84F4FE9F-C78C-4051-89FF-34EEF11F02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F2DF342A-DDB0-4526-913E-2164046A50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23E0621-4F01-4DFA-A46A-3D944FA2C2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22055C22-D5D6-4125-A148-3B84CCE0C0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98E2E43B-1E88-453C-9791-EF1DCD61D9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2A351B0C-C042-4693-97A3-759C4148A7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0AEDF55F-9D4A-4D7D-BC68-230682A2F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15</xdr:col>
      <xdr:colOff>257792</xdr:colOff>
      <xdr:row>10</xdr:row>
      <xdr:rowOff>97747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1E97586-F872-4029-9ADA-396E9C0E0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39435" y="0"/>
          <a:ext cx="8514286" cy="24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15</xdr:col>
      <xdr:colOff>124458</xdr:colOff>
      <xdr:row>21</xdr:row>
      <xdr:rowOff>6461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B43D057-E3B2-4309-B739-FAECA69C6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39435" y="2796988"/>
          <a:ext cx="8380952" cy="20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15</xdr:col>
      <xdr:colOff>276839</xdr:colOff>
      <xdr:row>29</xdr:row>
      <xdr:rowOff>101757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AFD325A-242E-4F4D-9E3E-46E775689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9435" y="5127812"/>
          <a:ext cx="8533333" cy="17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15</xdr:col>
      <xdr:colOff>305411</xdr:colOff>
      <xdr:row>39</xdr:row>
      <xdr:rowOff>111783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C191054-7E0A-4A34-9A3B-1EA2554FF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9435" y="6992471"/>
          <a:ext cx="8561905" cy="2209524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0</xdr:row>
      <xdr:rowOff>0</xdr:rowOff>
    </xdr:from>
    <xdr:to>
      <xdr:col>20</xdr:col>
      <xdr:colOff>612903</xdr:colOff>
      <xdr:row>10</xdr:row>
      <xdr:rowOff>104457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5F6DD03-D550-44CA-853E-679B47E54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575280" y="0"/>
          <a:ext cx="4057143" cy="2542857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FAFAD4B2-4F47-44A3-9DA8-9C37FFFE3E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9AFD43F4-2BF8-43F5-8D1B-067886FD3C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99CEA461-982E-476E-94BC-C37369F2F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F29395BD-4570-477A-B825-0F685AD777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9E174A1A-59A1-4306-89B9-C958CBFBEA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F0075CE5-D9A7-4AD1-AA03-64A550AD9B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9C725A76-58A4-46B4-B9E1-08C3725027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A9E7A373-06AD-4A05-B975-FE2F72C4A3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1A27607F-9C3D-4ACB-B9A8-E112117B4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0446F068-01CC-4140-993C-60C5995957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12</xdr:col>
      <xdr:colOff>472729</xdr:colOff>
      <xdr:row>12</xdr:row>
      <xdr:rowOff>44537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A20EC61-5EE3-4730-9AD0-FC11E3F8B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0471" y="448235"/>
          <a:ext cx="5761905" cy="22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12</xdr:col>
      <xdr:colOff>225110</xdr:colOff>
      <xdr:row>18</xdr:row>
      <xdr:rowOff>146078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A553EBA-2EAD-4E37-A6A9-06CC3B6B9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0471" y="2913529"/>
          <a:ext cx="5514286" cy="12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12</xdr:col>
      <xdr:colOff>110824</xdr:colOff>
      <xdr:row>26</xdr:row>
      <xdr:rowOff>17199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8435C47-211F-4B36-9ADF-C9FCCE1C7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0471" y="4482353"/>
          <a:ext cx="5400000" cy="136190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12</xdr:col>
      <xdr:colOff>329872</xdr:colOff>
      <xdr:row>34</xdr:row>
      <xdr:rowOff>112437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A8817A3-8B42-450D-81E6-2E8229955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0471" y="6275294"/>
          <a:ext cx="5619048" cy="1457143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66F130ED-6CD8-4BEB-BD07-DF923075F7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5C3C70F9-CCE0-4BAC-B11F-01FC7E48B2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CE72DE8E-5280-43E6-BB74-6235AFD8C5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BD2A67DE-81D9-4816-9176-295A697CDB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A9197C03-05C1-4226-8903-D1F8DD9CE0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9C610050-D7B7-4E34-9F19-0E68CD1A75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FBE2D9C7-C47B-4931-87DB-481CB62AB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A079A33F-A3E0-44A3-8E34-ED23EB92B8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700DF061-5F5F-4A2D-A59E-2869FA9E43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831B4F60-65E0-46AF-A047-C1BEC3F0CF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2</xdr:row>
      <xdr:rowOff>0</xdr:rowOff>
    </xdr:from>
    <xdr:to>
      <xdr:col>12</xdr:col>
      <xdr:colOff>472729</xdr:colOff>
      <xdr:row>12</xdr:row>
      <xdr:rowOff>44537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81A3DCB-9D55-4C28-A88F-B77B3D11E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8875" y="457200"/>
          <a:ext cx="5768629" cy="233053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12</xdr:col>
      <xdr:colOff>225110</xdr:colOff>
      <xdr:row>18</xdr:row>
      <xdr:rowOff>146078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D31F2C6-75CC-466C-94C6-529FAEF41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2971800"/>
          <a:ext cx="5521010" cy="128907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12</xdr:col>
      <xdr:colOff>110824</xdr:colOff>
      <xdr:row>26</xdr:row>
      <xdr:rowOff>17199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06CE401-2506-4917-B4BF-88B27B3A0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4572000"/>
          <a:ext cx="5406724" cy="138879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12</xdr:col>
      <xdr:colOff>329872</xdr:colOff>
      <xdr:row>34</xdr:row>
      <xdr:rowOff>112437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B001310-2D28-46A0-8DEB-B3B7BC263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6400800"/>
          <a:ext cx="5625772" cy="1484037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67EB9A15-CBE5-4F7E-8201-3DCE55DE65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F8948894-2529-49C4-B333-0E03AD524A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4676932A-BECE-4A9F-8C72-79B2F0368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B53EB14E-22C4-4E3B-A72A-8F8AFA16A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8E15C6A1-42EE-4D14-A2EE-895DD5F276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BB06444F-B983-4B04-9559-623D709DC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7F3B4305-859A-476C-99E4-A887C2B45A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646B4378-1779-491C-9016-67C1103084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C7945A4C-AEFB-4385-BA62-7F8C419AB0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43</xdr:row>
      <xdr:rowOff>0</xdr:rowOff>
    </xdr:from>
    <xdr:to>
      <xdr:col>13</xdr:col>
      <xdr:colOff>631584</xdr:colOff>
      <xdr:row>53</xdr:row>
      <xdr:rowOff>56857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E5DAC24-5C8E-4557-BCFF-355169740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33160" y="9829800"/>
          <a:ext cx="7009524" cy="234285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18</xdr:col>
      <xdr:colOff>386048</xdr:colOff>
      <xdr:row>15</xdr:row>
      <xdr:rowOff>218619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ADEF464-84F8-4BD1-885E-720F90C3E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488886" y="0"/>
          <a:ext cx="3161905" cy="36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11</xdr:col>
      <xdr:colOff>546266</xdr:colOff>
      <xdr:row>8</xdr:row>
      <xdr:rowOff>16583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5EBE2B7-3E17-42FA-AF1B-C5DF115F7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0471" y="0"/>
          <a:ext cx="4647619" cy="18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11</xdr:col>
      <xdr:colOff>384361</xdr:colOff>
      <xdr:row>15</xdr:row>
      <xdr:rowOff>83865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8251A86-7AEE-4C44-A624-AA26818D3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0471" y="2017059"/>
          <a:ext cx="4485714" cy="14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11</xdr:col>
      <xdr:colOff>346266</xdr:colOff>
      <xdr:row>21</xdr:row>
      <xdr:rowOff>136554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B1806D-A2FC-4127-AD10-2AD0FBCFB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0471" y="3585882"/>
          <a:ext cx="4447619" cy="12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11</xdr:col>
      <xdr:colOff>289123</xdr:colOff>
      <xdr:row>28</xdr:row>
      <xdr:rowOff>203222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62D154C-6C88-455C-8FFC-EF2D4824F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0471" y="5154706"/>
          <a:ext cx="4390476" cy="132381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FE0A04F4-8982-44D7-B923-906A0EA57A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8C9C06DB-5BD7-4181-A4B9-9D40FD6DB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337AF75B-CAAB-4492-90D0-3E7C3F2837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EAB936C-8BA3-4BA9-B43B-93102A1669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1BA5F116-5260-4673-889B-5668EB80B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99EF90F4-BD3C-4B75-9B9D-E5474B387C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EF69D119-486D-4DA5-9A05-DBADFCA32B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BE56FB79-C5C3-41EC-86DA-017A4400F9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509D2544-0E7A-4FAC-9E90-7BCA0D5B33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D14880E8-1D8D-41BA-84C5-70FEED5320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9</xdr:col>
      <xdr:colOff>952119</xdr:colOff>
      <xdr:row>15</xdr:row>
      <xdr:rowOff>9095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D46A16F-3407-40FD-98AF-7E2615433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3047619" cy="34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222885</xdr:colOff>
      <xdr:row>14</xdr:row>
      <xdr:rowOff>161925</xdr:rowOff>
    </xdr:from>
    <xdr:to>
      <xdr:col>16</xdr:col>
      <xdr:colOff>758866</xdr:colOff>
      <xdr:row>28</xdr:row>
      <xdr:rowOff>161525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C0FA5A6-EF35-40EB-8AFA-D7C10F9CA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42660" y="3362325"/>
          <a:ext cx="9137056" cy="32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</xdr:row>
      <xdr:rowOff>0</xdr:rowOff>
    </xdr:from>
    <xdr:to>
      <xdr:col>16</xdr:col>
      <xdr:colOff>341705</xdr:colOff>
      <xdr:row>44</xdr:row>
      <xdr:rowOff>132962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3EB5608-1193-4B25-8C33-ED4A85F68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7086600"/>
          <a:ext cx="9561905" cy="31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46</xdr:row>
      <xdr:rowOff>0</xdr:rowOff>
    </xdr:from>
    <xdr:to>
      <xdr:col>15</xdr:col>
      <xdr:colOff>726588</xdr:colOff>
      <xdr:row>58</xdr:row>
      <xdr:rowOff>180609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25C2F9A-1766-4185-8951-D21FB6715B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10515600"/>
          <a:ext cx="8971428" cy="2923809"/>
        </a:xfrm>
        <a:prstGeom prst="rect">
          <a:avLst/>
        </a:prstGeom>
      </xdr:spPr>
    </xdr:pic>
    <xdr:clientData/>
  </xdr:twoCellAnchor>
  <xdr:twoCellAnchor editAs="oneCell">
    <xdr:from>
      <xdr:col>6</xdr:col>
      <xdr:colOff>289560</xdr:colOff>
      <xdr:row>63</xdr:row>
      <xdr:rowOff>76200</xdr:rowOff>
    </xdr:from>
    <xdr:to>
      <xdr:col>15</xdr:col>
      <xdr:colOff>414102</xdr:colOff>
      <xdr:row>76</xdr:row>
      <xdr:rowOff>209162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201D77F-438A-41B4-931B-164D057B51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87340" y="14478000"/>
          <a:ext cx="9504762" cy="3104762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25DD9985-A97A-4469-A270-3F65FC0BD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E30D0F82-E8AE-4A00-867B-188B7DA3C0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9674B7E4-F6BF-40B9-B349-87B1F0EFC2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4823052C-8315-4180-B32C-C935F085B4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2E2DDEEE-537B-4823-9EF8-F8FBCE7201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BF28D08A-D170-42C1-B865-DED80C1737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E061E97D-E718-4F6F-B986-7147013AD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991F7F08-6D94-48A1-A314-829EEAD7E5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9</xdr:col>
      <xdr:colOff>580690</xdr:colOff>
      <xdr:row>14</xdr:row>
      <xdr:rowOff>104390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D46A7B3-E91E-434D-84E5-12DEDF4CA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33160" y="228600"/>
          <a:ext cx="2676190" cy="30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792480</xdr:colOff>
      <xdr:row>14</xdr:row>
      <xdr:rowOff>152400</xdr:rowOff>
    </xdr:from>
    <xdr:to>
      <xdr:col>14</xdr:col>
      <xdr:colOff>534418</xdr:colOff>
      <xdr:row>20</xdr:row>
      <xdr:rowOff>28419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A13060-7427-497B-89E1-1F954E11F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25640" y="3352800"/>
          <a:ext cx="7095238" cy="12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137160</xdr:colOff>
      <xdr:row>21</xdr:row>
      <xdr:rowOff>167640</xdr:rowOff>
    </xdr:from>
    <xdr:to>
      <xdr:col>13</xdr:col>
      <xdr:colOff>463982</xdr:colOff>
      <xdr:row>26</xdr:row>
      <xdr:rowOff>129402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30223BD-775D-40D6-A471-910F78A42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70320" y="4968240"/>
          <a:ext cx="6704762" cy="11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220980</xdr:colOff>
      <xdr:row>28</xdr:row>
      <xdr:rowOff>0</xdr:rowOff>
    </xdr:from>
    <xdr:to>
      <xdr:col>13</xdr:col>
      <xdr:colOff>671611</xdr:colOff>
      <xdr:row>32</xdr:row>
      <xdr:rowOff>66552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3050722-CB3D-4D7F-B9F4-D394EE780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454140" y="6400800"/>
          <a:ext cx="6828571" cy="98095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13</xdr:col>
      <xdr:colOff>707774</xdr:colOff>
      <xdr:row>38</xdr:row>
      <xdr:rowOff>66524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684607F-2F0B-47D4-8786-DDAE31623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7543800"/>
          <a:ext cx="7085714" cy="1209524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95</xdr:row>
      <xdr:rowOff>76200</xdr:rowOff>
    </xdr:from>
    <xdr:to>
      <xdr:col>1</xdr:col>
      <xdr:colOff>228600</xdr:colOff>
      <xdr:row>98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9F5AF73-9246-4E14-8FFF-E7BCA0611A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42875" y="19107150"/>
          <a:ext cx="752475" cy="5048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44268</xdr:colOff>
      <xdr:row>14</xdr:row>
      <xdr:rowOff>70589</xdr:rowOff>
    </xdr:from>
    <xdr:to>
      <xdr:col>16</xdr:col>
      <xdr:colOff>194404</xdr:colOff>
      <xdr:row>18</xdr:row>
      <xdr:rowOff>156314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72B04A93-5A8D-4932-97FE-E6A9B11AA9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1398068" y="2889989"/>
          <a:ext cx="2731411" cy="8477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</xdr:col>
      <xdr:colOff>819150</xdr:colOff>
      <xdr:row>101</xdr:row>
      <xdr:rowOff>133350</xdr:rowOff>
    </xdr:from>
    <xdr:to>
      <xdr:col>3</xdr:col>
      <xdr:colOff>47625</xdr:colOff>
      <xdr:row>104</xdr:row>
      <xdr:rowOff>114300</xdr:rowOff>
    </xdr:to>
    <xdr:pic>
      <xdr:nvPicPr>
        <xdr:cNvPr id="4" name="Picture 38">
          <a:extLst>
            <a:ext uri="{FF2B5EF4-FFF2-40B4-BE49-F238E27FC236}">
              <a16:creationId xmlns:a16="http://schemas.microsoft.com/office/drawing/2014/main" id="{B023B0E0-F758-4861-A855-97F9287899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0345400"/>
          <a:ext cx="771525" cy="552450"/>
        </a:xfrm>
        <a:prstGeom prst="rect">
          <a:avLst/>
        </a:prstGeom>
        <a:noFill/>
      </xdr:spPr>
    </xdr:pic>
    <xdr:clientData/>
  </xdr:twoCellAnchor>
  <xdr:twoCellAnchor>
    <xdr:from>
      <xdr:col>1</xdr:col>
      <xdr:colOff>800100</xdr:colOff>
      <xdr:row>108</xdr:row>
      <xdr:rowOff>123825</xdr:rowOff>
    </xdr:from>
    <xdr:to>
      <xdr:col>4</xdr:col>
      <xdr:colOff>809625</xdr:colOff>
      <xdr:row>110</xdr:row>
      <xdr:rowOff>19050</xdr:rowOff>
    </xdr:to>
    <xdr:pic>
      <xdr:nvPicPr>
        <xdr:cNvPr id="5" name="Picture 39">
          <a:extLst>
            <a:ext uri="{FF2B5EF4-FFF2-40B4-BE49-F238E27FC236}">
              <a16:creationId xmlns:a16="http://schemas.microsoft.com/office/drawing/2014/main" id="{ED023598-CD71-4ABD-BA14-981909C50C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1669375"/>
          <a:ext cx="2238375" cy="276225"/>
        </a:xfrm>
        <a:prstGeom prst="rect">
          <a:avLst/>
        </a:prstGeom>
        <a:noFill/>
      </xdr:spPr>
    </xdr:pic>
    <xdr:clientData/>
  </xdr:twoCellAnchor>
  <xdr:twoCellAnchor>
    <xdr:from>
      <xdr:col>3</xdr:col>
      <xdr:colOff>257175</xdr:colOff>
      <xdr:row>102</xdr:row>
      <xdr:rowOff>142875</xdr:rowOff>
    </xdr:from>
    <xdr:to>
      <xdr:col>3</xdr:col>
      <xdr:colOff>819150</xdr:colOff>
      <xdr:row>104</xdr:row>
      <xdr:rowOff>104775</xdr:rowOff>
    </xdr:to>
    <xdr:pic>
      <xdr:nvPicPr>
        <xdr:cNvPr id="6" name="Picture 40">
          <a:extLst>
            <a:ext uri="{FF2B5EF4-FFF2-40B4-BE49-F238E27FC236}">
              <a16:creationId xmlns:a16="http://schemas.microsoft.com/office/drawing/2014/main" id="{A4E1741E-7BD2-4D26-854E-D54B40B5DC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314575" y="20545425"/>
          <a:ext cx="495300" cy="3429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101</xdr:row>
      <xdr:rowOff>28575</xdr:rowOff>
    </xdr:from>
    <xdr:to>
      <xdr:col>1</xdr:col>
      <xdr:colOff>609600</xdr:colOff>
      <xdr:row>104</xdr:row>
      <xdr:rowOff>38100</xdr:rowOff>
    </xdr:to>
    <xdr:pic>
      <xdr:nvPicPr>
        <xdr:cNvPr id="7" name="Picture 41">
          <a:extLst>
            <a:ext uri="{FF2B5EF4-FFF2-40B4-BE49-F238E27FC236}">
              <a16:creationId xmlns:a16="http://schemas.microsoft.com/office/drawing/2014/main" id="{ED38D9A5-E296-4A96-BF9A-629DD600D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0240625"/>
          <a:ext cx="1276350" cy="5810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1</xdr:colOff>
      <xdr:row>97</xdr:row>
      <xdr:rowOff>95250</xdr:rowOff>
    </xdr:from>
    <xdr:to>
      <xdr:col>2</xdr:col>
      <xdr:colOff>704851</xdr:colOff>
      <xdr:row>101</xdr:row>
      <xdr:rowOff>89021</xdr:rowOff>
    </xdr:to>
    <xdr:pic>
      <xdr:nvPicPr>
        <xdr:cNvPr id="8" name="Picture 11">
          <a:extLst>
            <a:ext uri="{FF2B5EF4-FFF2-40B4-BE49-F238E27FC236}">
              <a16:creationId xmlns:a16="http://schemas.microsoft.com/office/drawing/2014/main" id="{FE909659-9D80-49CA-B35A-F8B396A7D8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" y="19507200"/>
          <a:ext cx="2038350" cy="793871"/>
        </a:xfrm>
        <a:prstGeom prst="rect">
          <a:avLst/>
        </a:prstGeom>
        <a:noFill/>
      </xdr:spPr>
    </xdr:pic>
    <xdr:clientData/>
  </xdr:twoCellAnchor>
  <xdr:twoCellAnchor>
    <xdr:from>
      <xdr:col>0</xdr:col>
      <xdr:colOff>38100</xdr:colOff>
      <xdr:row>104</xdr:row>
      <xdr:rowOff>57150</xdr:rowOff>
    </xdr:from>
    <xdr:to>
      <xdr:col>1</xdr:col>
      <xdr:colOff>0</xdr:colOff>
      <xdr:row>105</xdr:row>
      <xdr:rowOff>133350</xdr:rowOff>
    </xdr:to>
    <xdr:pic>
      <xdr:nvPicPr>
        <xdr:cNvPr id="9" name="Picture 12">
          <a:extLst>
            <a:ext uri="{FF2B5EF4-FFF2-40B4-BE49-F238E27FC236}">
              <a16:creationId xmlns:a16="http://schemas.microsoft.com/office/drawing/2014/main" id="{D7928B16-8211-46DC-901B-DDBCF19C2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38100" y="20840700"/>
          <a:ext cx="628650" cy="2667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105</xdr:row>
      <xdr:rowOff>123825</xdr:rowOff>
    </xdr:from>
    <xdr:to>
      <xdr:col>6</xdr:col>
      <xdr:colOff>171450</xdr:colOff>
      <xdr:row>108</xdr:row>
      <xdr:rowOff>19050</xdr:rowOff>
    </xdr:to>
    <xdr:pic>
      <xdr:nvPicPr>
        <xdr:cNvPr id="10" name="Picture 13">
          <a:extLst>
            <a:ext uri="{FF2B5EF4-FFF2-40B4-BE49-F238E27FC236}">
              <a16:creationId xmlns:a16="http://schemas.microsoft.com/office/drawing/2014/main" id="{96C01FFD-C9F8-4C1A-B8C2-6249080FF6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097875"/>
          <a:ext cx="4591050" cy="4667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108</xdr:row>
      <xdr:rowOff>76200</xdr:rowOff>
    </xdr:from>
    <xdr:to>
      <xdr:col>1</xdr:col>
      <xdr:colOff>533400</xdr:colOff>
      <xdr:row>110</xdr:row>
      <xdr:rowOff>123825</xdr:rowOff>
    </xdr:to>
    <xdr:pic>
      <xdr:nvPicPr>
        <xdr:cNvPr id="11" name="Picture 14">
          <a:extLst>
            <a:ext uri="{FF2B5EF4-FFF2-40B4-BE49-F238E27FC236}">
              <a16:creationId xmlns:a16="http://schemas.microsoft.com/office/drawing/2014/main" id="{FD5F12FC-FF76-4B1C-AB90-41C1527E3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621750"/>
          <a:ext cx="1200150" cy="4286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46503</xdr:colOff>
      <xdr:row>2</xdr:row>
      <xdr:rowOff>52667</xdr:rowOff>
    </xdr:from>
    <xdr:to>
      <xdr:col>14</xdr:col>
      <xdr:colOff>411254</xdr:colOff>
      <xdr:row>6</xdr:row>
      <xdr:rowOff>159683</xdr:rowOff>
    </xdr:to>
    <xdr:pic>
      <xdr:nvPicPr>
        <xdr:cNvPr id="12" name="Picture 1">
          <a:extLst>
            <a:ext uri="{FF2B5EF4-FFF2-40B4-BE49-F238E27FC236}">
              <a16:creationId xmlns:a16="http://schemas.microsoft.com/office/drawing/2014/main" id="{68333B60-70B6-4E46-BEFC-0941111102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r="70353"/>
        <a:stretch>
          <a:fillRect/>
        </a:stretch>
      </xdr:blipFill>
      <xdr:spPr bwMode="auto">
        <a:xfrm>
          <a:off x="11400303" y="500342"/>
          <a:ext cx="1202951" cy="83091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30261</xdr:colOff>
      <xdr:row>8</xdr:row>
      <xdr:rowOff>67233</xdr:rowOff>
    </xdr:from>
    <xdr:to>
      <xdr:col>14</xdr:col>
      <xdr:colOff>480177</xdr:colOff>
      <xdr:row>12</xdr:row>
      <xdr:rowOff>66112</xdr:rowOff>
    </xdr:to>
    <xdr:pic>
      <xdr:nvPicPr>
        <xdr:cNvPr id="13" name="Picture 2">
          <a:extLst>
            <a:ext uri="{FF2B5EF4-FFF2-40B4-BE49-F238E27FC236}">
              <a16:creationId xmlns:a16="http://schemas.microsoft.com/office/drawing/2014/main" id="{0A891DF6-FECF-4B82-ADF6-C9FD767A0A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r="53925"/>
        <a:stretch>
          <a:fillRect/>
        </a:stretch>
      </xdr:blipFill>
      <xdr:spPr bwMode="auto">
        <a:xfrm>
          <a:off x="11384061" y="1667433"/>
          <a:ext cx="1288116" cy="77040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38101</xdr:colOff>
      <xdr:row>64</xdr:row>
      <xdr:rowOff>114300</xdr:rowOff>
    </xdr:from>
    <xdr:to>
      <xdr:col>6</xdr:col>
      <xdr:colOff>485215</xdr:colOff>
      <xdr:row>70</xdr:row>
      <xdr:rowOff>53139</xdr:rowOff>
    </xdr:to>
    <xdr:pic>
      <xdr:nvPicPr>
        <xdr:cNvPr id="14" name="Picture 168">
          <a:extLst>
            <a:ext uri="{FF2B5EF4-FFF2-40B4-BE49-F238E27FC236}">
              <a16:creationId xmlns:a16="http://schemas.microsoft.com/office/drawing/2014/main" id="{F45D7BAC-994B-44F1-BD24-3D2C87E70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38101" y="13049250"/>
          <a:ext cx="4866714" cy="11389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44824</xdr:colOff>
      <xdr:row>14</xdr:row>
      <xdr:rowOff>6958</xdr:rowOff>
    </xdr:from>
    <xdr:to>
      <xdr:col>6</xdr:col>
      <xdr:colOff>862853</xdr:colOff>
      <xdr:row>19</xdr:row>
      <xdr:rowOff>168089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9A66F01-FF2C-4CC1-B4FC-5F59449F80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21879" t="24361" r="30402" b="37491"/>
        <a:stretch/>
      </xdr:blipFill>
      <xdr:spPr>
        <a:xfrm>
          <a:off x="2117912" y="2830840"/>
          <a:ext cx="3182470" cy="1102425"/>
        </a:xfrm>
        <a:prstGeom prst="rect">
          <a:avLst/>
        </a:prstGeom>
      </xdr:spPr>
    </xdr:pic>
    <xdr:clientData/>
  </xdr:twoCellAnchor>
  <xdr:twoCellAnchor editAs="oneCell">
    <xdr:from>
      <xdr:col>7</xdr:col>
      <xdr:colOff>470647</xdr:colOff>
      <xdr:row>1</xdr:row>
      <xdr:rowOff>85401</xdr:rowOff>
    </xdr:from>
    <xdr:to>
      <xdr:col>16</xdr:col>
      <xdr:colOff>418625</xdr:colOff>
      <xdr:row>23</xdr:row>
      <xdr:rowOff>123266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D7AA3D-4896-457C-94CB-AB92B9C8F8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21879" t="24361" r="30402" b="37491"/>
        <a:stretch/>
      </xdr:blipFill>
      <xdr:spPr>
        <a:xfrm>
          <a:off x="5827059" y="331930"/>
          <a:ext cx="8587713" cy="4396954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95</xdr:row>
      <xdr:rowOff>76200</xdr:rowOff>
    </xdr:from>
    <xdr:to>
      <xdr:col>1</xdr:col>
      <xdr:colOff>228600</xdr:colOff>
      <xdr:row>98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2E72CD-8E57-4E6F-B3EE-BDB0F75DE8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42875" y="19107150"/>
          <a:ext cx="752475" cy="5048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44268</xdr:colOff>
      <xdr:row>14</xdr:row>
      <xdr:rowOff>70589</xdr:rowOff>
    </xdr:from>
    <xdr:to>
      <xdr:col>16</xdr:col>
      <xdr:colOff>194404</xdr:colOff>
      <xdr:row>18</xdr:row>
      <xdr:rowOff>156314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C31A9011-C9C7-48C7-96AF-94A475839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1398068" y="2889989"/>
          <a:ext cx="2731411" cy="8477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</xdr:col>
      <xdr:colOff>819150</xdr:colOff>
      <xdr:row>101</xdr:row>
      <xdr:rowOff>133350</xdr:rowOff>
    </xdr:from>
    <xdr:to>
      <xdr:col>3</xdr:col>
      <xdr:colOff>47625</xdr:colOff>
      <xdr:row>104</xdr:row>
      <xdr:rowOff>114300</xdr:rowOff>
    </xdr:to>
    <xdr:pic>
      <xdr:nvPicPr>
        <xdr:cNvPr id="4" name="Picture 38">
          <a:extLst>
            <a:ext uri="{FF2B5EF4-FFF2-40B4-BE49-F238E27FC236}">
              <a16:creationId xmlns:a16="http://schemas.microsoft.com/office/drawing/2014/main" id="{C7D36AB3-A9F3-458E-A99D-A2F2B12F5A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0345400"/>
          <a:ext cx="771525" cy="552450"/>
        </a:xfrm>
        <a:prstGeom prst="rect">
          <a:avLst/>
        </a:prstGeom>
        <a:noFill/>
      </xdr:spPr>
    </xdr:pic>
    <xdr:clientData/>
  </xdr:twoCellAnchor>
  <xdr:twoCellAnchor>
    <xdr:from>
      <xdr:col>1</xdr:col>
      <xdr:colOff>800100</xdr:colOff>
      <xdr:row>108</xdr:row>
      <xdr:rowOff>123825</xdr:rowOff>
    </xdr:from>
    <xdr:to>
      <xdr:col>4</xdr:col>
      <xdr:colOff>809625</xdr:colOff>
      <xdr:row>110</xdr:row>
      <xdr:rowOff>19050</xdr:rowOff>
    </xdr:to>
    <xdr:pic>
      <xdr:nvPicPr>
        <xdr:cNvPr id="5" name="Picture 39">
          <a:extLst>
            <a:ext uri="{FF2B5EF4-FFF2-40B4-BE49-F238E27FC236}">
              <a16:creationId xmlns:a16="http://schemas.microsoft.com/office/drawing/2014/main" id="{D68DDA01-C37A-435B-9EEA-E28B1788F0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333500" y="21669375"/>
          <a:ext cx="2238375" cy="276225"/>
        </a:xfrm>
        <a:prstGeom prst="rect">
          <a:avLst/>
        </a:prstGeom>
        <a:noFill/>
      </xdr:spPr>
    </xdr:pic>
    <xdr:clientData/>
  </xdr:twoCellAnchor>
  <xdr:twoCellAnchor>
    <xdr:from>
      <xdr:col>3</xdr:col>
      <xdr:colOff>257175</xdr:colOff>
      <xdr:row>102</xdr:row>
      <xdr:rowOff>142875</xdr:rowOff>
    </xdr:from>
    <xdr:to>
      <xdr:col>3</xdr:col>
      <xdr:colOff>819150</xdr:colOff>
      <xdr:row>104</xdr:row>
      <xdr:rowOff>104775</xdr:rowOff>
    </xdr:to>
    <xdr:pic>
      <xdr:nvPicPr>
        <xdr:cNvPr id="6" name="Picture 40">
          <a:extLst>
            <a:ext uri="{FF2B5EF4-FFF2-40B4-BE49-F238E27FC236}">
              <a16:creationId xmlns:a16="http://schemas.microsoft.com/office/drawing/2014/main" id="{C6E44D03-2A01-40B4-A41F-38A2C7D52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314575" y="20545425"/>
          <a:ext cx="495300" cy="3429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101</xdr:row>
      <xdr:rowOff>28575</xdr:rowOff>
    </xdr:from>
    <xdr:to>
      <xdr:col>1</xdr:col>
      <xdr:colOff>609600</xdr:colOff>
      <xdr:row>104</xdr:row>
      <xdr:rowOff>38100</xdr:rowOff>
    </xdr:to>
    <xdr:pic>
      <xdr:nvPicPr>
        <xdr:cNvPr id="7" name="Picture 41">
          <a:extLst>
            <a:ext uri="{FF2B5EF4-FFF2-40B4-BE49-F238E27FC236}">
              <a16:creationId xmlns:a16="http://schemas.microsoft.com/office/drawing/2014/main" id="{B8116385-710B-4216-B3EC-0214D650E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0240625"/>
          <a:ext cx="1276350" cy="5810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1</xdr:colOff>
      <xdr:row>97</xdr:row>
      <xdr:rowOff>95250</xdr:rowOff>
    </xdr:from>
    <xdr:to>
      <xdr:col>2</xdr:col>
      <xdr:colOff>704851</xdr:colOff>
      <xdr:row>101</xdr:row>
      <xdr:rowOff>89021</xdr:rowOff>
    </xdr:to>
    <xdr:pic>
      <xdr:nvPicPr>
        <xdr:cNvPr id="8" name="Picture 11">
          <a:extLst>
            <a:ext uri="{FF2B5EF4-FFF2-40B4-BE49-F238E27FC236}">
              <a16:creationId xmlns:a16="http://schemas.microsoft.com/office/drawing/2014/main" id="{797AA985-CC58-4C40-ACDB-881F01BC9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" y="19507200"/>
          <a:ext cx="2038350" cy="793871"/>
        </a:xfrm>
        <a:prstGeom prst="rect">
          <a:avLst/>
        </a:prstGeom>
        <a:noFill/>
      </xdr:spPr>
    </xdr:pic>
    <xdr:clientData/>
  </xdr:twoCellAnchor>
  <xdr:twoCellAnchor>
    <xdr:from>
      <xdr:col>0</xdr:col>
      <xdr:colOff>38100</xdr:colOff>
      <xdr:row>104</xdr:row>
      <xdr:rowOff>57150</xdr:rowOff>
    </xdr:from>
    <xdr:to>
      <xdr:col>1</xdr:col>
      <xdr:colOff>0</xdr:colOff>
      <xdr:row>105</xdr:row>
      <xdr:rowOff>133350</xdr:rowOff>
    </xdr:to>
    <xdr:pic>
      <xdr:nvPicPr>
        <xdr:cNvPr id="9" name="Picture 12">
          <a:extLst>
            <a:ext uri="{FF2B5EF4-FFF2-40B4-BE49-F238E27FC236}">
              <a16:creationId xmlns:a16="http://schemas.microsoft.com/office/drawing/2014/main" id="{6BF8326F-0FE9-4542-9A44-341EAC1627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38100" y="20840700"/>
          <a:ext cx="628650" cy="266700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105</xdr:row>
      <xdr:rowOff>123825</xdr:rowOff>
    </xdr:from>
    <xdr:to>
      <xdr:col>6</xdr:col>
      <xdr:colOff>171450</xdr:colOff>
      <xdr:row>108</xdr:row>
      <xdr:rowOff>19050</xdr:rowOff>
    </xdr:to>
    <xdr:pic>
      <xdr:nvPicPr>
        <xdr:cNvPr id="10" name="Picture 13">
          <a:extLst>
            <a:ext uri="{FF2B5EF4-FFF2-40B4-BE49-F238E27FC236}">
              <a16:creationId xmlns:a16="http://schemas.microsoft.com/office/drawing/2014/main" id="{E39D6AF9-C8FC-4A9B-ADE3-BCD98CDE7C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097875"/>
          <a:ext cx="4591050" cy="466725"/>
        </a:xfrm>
        <a:prstGeom prst="rect">
          <a:avLst/>
        </a:prstGeom>
        <a:noFill/>
      </xdr:spPr>
    </xdr:pic>
    <xdr:clientData/>
  </xdr:twoCellAnchor>
  <xdr:twoCellAnchor>
    <xdr:from>
      <xdr:col>0</xdr:col>
      <xdr:colOff>0</xdr:colOff>
      <xdr:row>108</xdr:row>
      <xdr:rowOff>76200</xdr:rowOff>
    </xdr:from>
    <xdr:to>
      <xdr:col>1</xdr:col>
      <xdr:colOff>533400</xdr:colOff>
      <xdr:row>110</xdr:row>
      <xdr:rowOff>123825</xdr:rowOff>
    </xdr:to>
    <xdr:pic>
      <xdr:nvPicPr>
        <xdr:cNvPr id="11" name="Picture 14">
          <a:extLst>
            <a:ext uri="{FF2B5EF4-FFF2-40B4-BE49-F238E27FC236}">
              <a16:creationId xmlns:a16="http://schemas.microsoft.com/office/drawing/2014/main" id="{287C4BA1-EC5A-40E5-8F48-34A087E67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0" y="21621750"/>
          <a:ext cx="1200150" cy="428625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46503</xdr:colOff>
      <xdr:row>2</xdr:row>
      <xdr:rowOff>52667</xdr:rowOff>
    </xdr:from>
    <xdr:to>
      <xdr:col>14</xdr:col>
      <xdr:colOff>411254</xdr:colOff>
      <xdr:row>6</xdr:row>
      <xdr:rowOff>159683</xdr:rowOff>
    </xdr:to>
    <xdr:pic>
      <xdr:nvPicPr>
        <xdr:cNvPr id="12" name="Picture 1">
          <a:extLst>
            <a:ext uri="{FF2B5EF4-FFF2-40B4-BE49-F238E27FC236}">
              <a16:creationId xmlns:a16="http://schemas.microsoft.com/office/drawing/2014/main" id="{F5EE0967-2CFA-42A5-855E-E0CC02535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 r="70353"/>
        <a:stretch>
          <a:fillRect/>
        </a:stretch>
      </xdr:blipFill>
      <xdr:spPr bwMode="auto">
        <a:xfrm>
          <a:off x="11400303" y="500342"/>
          <a:ext cx="1202951" cy="830916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13</xdr:col>
      <xdr:colOff>30261</xdr:colOff>
      <xdr:row>8</xdr:row>
      <xdr:rowOff>67233</xdr:rowOff>
    </xdr:from>
    <xdr:to>
      <xdr:col>14</xdr:col>
      <xdr:colOff>480177</xdr:colOff>
      <xdr:row>12</xdr:row>
      <xdr:rowOff>66112</xdr:rowOff>
    </xdr:to>
    <xdr:pic>
      <xdr:nvPicPr>
        <xdr:cNvPr id="13" name="Picture 2">
          <a:extLst>
            <a:ext uri="{FF2B5EF4-FFF2-40B4-BE49-F238E27FC236}">
              <a16:creationId xmlns:a16="http://schemas.microsoft.com/office/drawing/2014/main" id="{FDD23D46-5730-42FB-BD38-E0E436E383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 r="53925"/>
        <a:stretch>
          <a:fillRect/>
        </a:stretch>
      </xdr:blipFill>
      <xdr:spPr bwMode="auto">
        <a:xfrm>
          <a:off x="11384061" y="1667433"/>
          <a:ext cx="1288116" cy="770404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0</xdr:col>
      <xdr:colOff>38101</xdr:colOff>
      <xdr:row>64</xdr:row>
      <xdr:rowOff>114300</xdr:rowOff>
    </xdr:from>
    <xdr:to>
      <xdr:col>6</xdr:col>
      <xdr:colOff>485215</xdr:colOff>
      <xdr:row>70</xdr:row>
      <xdr:rowOff>53139</xdr:rowOff>
    </xdr:to>
    <xdr:pic>
      <xdr:nvPicPr>
        <xdr:cNvPr id="14" name="Picture 168">
          <a:extLst>
            <a:ext uri="{FF2B5EF4-FFF2-40B4-BE49-F238E27FC236}">
              <a16:creationId xmlns:a16="http://schemas.microsoft.com/office/drawing/2014/main" id="{AEA0FB38-681D-41BB-B82D-454AFA6D60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38101" y="13049250"/>
          <a:ext cx="4866714" cy="11389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44824</xdr:colOff>
      <xdr:row>14</xdr:row>
      <xdr:rowOff>33618</xdr:rowOff>
    </xdr:from>
    <xdr:to>
      <xdr:col>6</xdr:col>
      <xdr:colOff>874059</xdr:colOff>
      <xdr:row>19</xdr:row>
      <xdr:rowOff>168089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BCC3104-ECBB-4915-A12B-5A9796F194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7055" t="28955" r="29972" b="42855"/>
        <a:stretch/>
      </xdr:blipFill>
      <xdr:spPr>
        <a:xfrm>
          <a:off x="2117912" y="2857500"/>
          <a:ext cx="3193676" cy="1075765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AFCD2060-FE10-49DB-9219-18195D4CA5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895D4A30-46FB-4CA2-8B65-2ECE5ADBD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05FE7AE3-234D-4D05-91BF-0B50829127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1E7BF636-F1CF-4B3C-B2E5-67542305A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4CBF9017-AA27-42CE-8DFB-A3442B97D0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284F972-55B0-41F8-9D3C-7A74E413DE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D0282B14-3C01-49A5-899E-05838E25B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3AC53668-1327-407C-BC8A-BCB9E6F38E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5211BE42-1342-407C-89DB-294197A18D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B4B434FE-1B5B-4C3B-8CC8-CCF6E8B4D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CB9A5F43-4528-4F18-931E-F64F66486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A1597407-BF46-4595-B8E2-9AD50BF4A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692DD2C6-EB57-4637-8A95-F33D09260A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6A0AF821-E0AF-4D3F-BF31-CE2CDF5B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82AAFCC2-B2E1-42E1-B0D7-E84392C22E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16BA9CF5-2630-4F45-9AA5-09925EE936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81E3C713-A3A8-4E78-B11A-FC1F03488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A4147C9-F6EC-4D35-8D74-DFBC0557BA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000FA32F-0B1D-4670-8825-6EC322653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FB75F425-C75B-4BE3-ADB5-DD10A92CD6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10</xdr:col>
      <xdr:colOff>247229</xdr:colOff>
      <xdr:row>13</xdr:row>
      <xdr:rowOff>104390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D46C340-A86A-4702-AD6A-F9A4A1442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3371429" cy="30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15</xdr:col>
      <xdr:colOff>231350</xdr:colOff>
      <xdr:row>23</xdr:row>
      <xdr:rowOff>180724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BE7F737-B758-421B-B30F-28E328505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3429000"/>
          <a:ext cx="8476190" cy="20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15</xdr:col>
      <xdr:colOff>202779</xdr:colOff>
      <xdr:row>34</xdr:row>
      <xdr:rowOff>28343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3D7D72A-2213-44C6-B1B1-522F12A6C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5943600"/>
          <a:ext cx="8447619" cy="18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35</xdr:row>
      <xdr:rowOff>0</xdr:rowOff>
    </xdr:from>
    <xdr:to>
      <xdr:col>14</xdr:col>
      <xdr:colOff>808605</xdr:colOff>
      <xdr:row>41</xdr:row>
      <xdr:rowOff>161733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FD3D3F9-6E09-43B0-9E59-780433805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8001000"/>
          <a:ext cx="8161905" cy="15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43</xdr:row>
      <xdr:rowOff>0</xdr:rowOff>
    </xdr:from>
    <xdr:to>
      <xdr:col>15</xdr:col>
      <xdr:colOff>250398</xdr:colOff>
      <xdr:row>49</xdr:row>
      <xdr:rowOff>180781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CD928E0-FF1E-48F3-A9D3-20915F96E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9829800"/>
          <a:ext cx="8495238" cy="1552381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22FC26E-A774-482B-8B01-7E5C183F07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02623439-DFD4-472C-9F2C-D55348C1B1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4314BF4D-89FA-406F-9C41-8FF6CF482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83405FC-8B1E-4B3A-965C-BA74D4E5B9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B2E6B8B9-9392-420D-A94C-4A7A2815C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7C0A339C-8D09-4890-87CF-8FE6071507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F0EC5D56-5A75-43CA-B479-04DDEB9E8E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F20F3051-273F-4D95-8DF8-EB90A91BB9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CA493682-C5B6-454D-AAD7-7B3FFB1354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D1A9481D-5ECD-4B78-BB8D-485FA7349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9</xdr:col>
      <xdr:colOff>694976</xdr:colOff>
      <xdr:row>12</xdr:row>
      <xdr:rowOff>228257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B796D5B-D47B-4BE6-9E5F-84D06FA68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2790476" cy="2742857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13</xdr:row>
      <xdr:rowOff>142875</xdr:rowOff>
    </xdr:from>
    <xdr:to>
      <xdr:col>10</xdr:col>
      <xdr:colOff>942475</xdr:colOff>
      <xdr:row>23</xdr:row>
      <xdr:rowOff>171161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D4C4FAA-6C66-4995-8035-B27944745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96025" y="3114675"/>
          <a:ext cx="4000000" cy="23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10</xdr:col>
      <xdr:colOff>685325</xdr:colOff>
      <xdr:row>34</xdr:row>
      <xdr:rowOff>28314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1BE14C9-1C22-488D-8D15-465FB95FE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5715000"/>
          <a:ext cx="3800000" cy="20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35</xdr:row>
      <xdr:rowOff>0</xdr:rowOff>
    </xdr:from>
    <xdr:to>
      <xdr:col>10</xdr:col>
      <xdr:colOff>694849</xdr:colOff>
      <xdr:row>43</xdr:row>
      <xdr:rowOff>75962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5EB106B-2AB4-49BC-AABA-81A63BCAF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8001000"/>
          <a:ext cx="3809524" cy="19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44</xdr:row>
      <xdr:rowOff>0</xdr:rowOff>
    </xdr:from>
    <xdr:to>
      <xdr:col>12</xdr:col>
      <xdr:colOff>189815</xdr:colOff>
      <xdr:row>52</xdr:row>
      <xdr:rowOff>180724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3F6D696-FEF2-44BA-B637-91A138BCA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8875" y="10058400"/>
          <a:ext cx="5476190" cy="200952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3333CE32-69EA-4323-883C-AB3B678A18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56818763-D779-4A22-88A6-E2CFCF26D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7261ECD5-4A21-4806-9DE7-5CA400A6EB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D1ABD5BE-49F1-4C54-B4E7-F9721909B1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87CEF3EA-C5CB-4222-B512-8BC510EB17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3527BDCB-F08C-4654-97E4-A05BE0687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46480550-11DC-4B67-A496-F2FB05726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7E8A3A93-F161-4633-BD3F-33B784DA68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53788</xdr:colOff>
      <xdr:row>0</xdr:row>
      <xdr:rowOff>89646</xdr:rowOff>
    </xdr:from>
    <xdr:to>
      <xdr:col>14</xdr:col>
      <xdr:colOff>710012</xdr:colOff>
      <xdr:row>14</xdr:row>
      <xdr:rowOff>194008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843B4F2-A557-403D-A1C8-136708E2D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93223" y="89646"/>
          <a:ext cx="8025213" cy="336751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14</xdr:col>
      <xdr:colOff>621487</xdr:colOff>
      <xdr:row>28</xdr:row>
      <xdr:rowOff>107774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345FF6-F163-4D61-A178-58AC7A8F5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39435" y="3729318"/>
          <a:ext cx="7990476" cy="29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14</xdr:col>
      <xdr:colOff>516725</xdr:colOff>
      <xdr:row>41</xdr:row>
      <xdr:rowOff>64666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6A71E0-7B9D-4929-8D98-0C7423AE7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9435" y="6992471"/>
          <a:ext cx="7885714" cy="2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43</xdr:row>
      <xdr:rowOff>0</xdr:rowOff>
    </xdr:from>
    <xdr:to>
      <xdr:col>14</xdr:col>
      <xdr:colOff>564344</xdr:colOff>
      <xdr:row>54</xdr:row>
      <xdr:rowOff>197999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C516A2C-45BD-403A-8A93-42B7FBBE8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9435" y="10022541"/>
          <a:ext cx="7933333" cy="276190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18</xdr:col>
      <xdr:colOff>825642</xdr:colOff>
      <xdr:row>10</xdr:row>
      <xdr:rowOff>82822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DC8B997-2832-469E-A177-A5FCA7C3A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909964" y="0"/>
          <a:ext cx="3485714" cy="2438095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5BEF29DA-9E27-44BE-966E-BD192106A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F79F02F2-2EA8-46EE-BB82-7470CF7055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CD2DE3B9-9CF3-48C6-81AE-5731869C83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8055431-EB20-4E53-9161-CA3331DF0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2F5B8523-E1CC-4797-B23E-CFC70E71D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D6E46DF7-E4D5-43E3-B314-C38A9F3B58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E9536106-F2D4-40D4-AA58-DFDDFBBEED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C440537E-8BCC-406A-982C-6BF025D35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E7836458-D927-4E5E-A1CF-25EE98A06B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486C451B-C299-42D9-A8BE-2C9189EF75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10</xdr:col>
      <xdr:colOff>494848</xdr:colOff>
      <xdr:row>15</xdr:row>
      <xdr:rowOff>47190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F9AEE2B-8F90-4DE1-A47F-76F132E7D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3619048" cy="3476190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15</xdr:row>
      <xdr:rowOff>0</xdr:rowOff>
    </xdr:from>
    <xdr:to>
      <xdr:col>15</xdr:col>
      <xdr:colOff>438956</xdr:colOff>
      <xdr:row>25</xdr:row>
      <xdr:rowOff>37809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1527543-04E0-428C-B332-D76E6141D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26480" y="3429000"/>
          <a:ext cx="8790476" cy="232380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27</xdr:row>
      <xdr:rowOff>0</xdr:rowOff>
    </xdr:from>
    <xdr:to>
      <xdr:col>15</xdr:col>
      <xdr:colOff>821827</xdr:colOff>
      <xdr:row>36</xdr:row>
      <xdr:rowOff>123552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8754939-4C1A-4DBA-96CA-E8B348734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6172200"/>
          <a:ext cx="9066667" cy="218095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38</xdr:row>
      <xdr:rowOff>0</xdr:rowOff>
    </xdr:from>
    <xdr:to>
      <xdr:col>14</xdr:col>
      <xdr:colOff>875271</xdr:colOff>
      <xdr:row>45</xdr:row>
      <xdr:rowOff>209324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A592A3-A9B0-44D1-8BA3-CA532FFD5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8686800"/>
          <a:ext cx="8228571" cy="18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47</xdr:row>
      <xdr:rowOff>0</xdr:rowOff>
    </xdr:from>
    <xdr:to>
      <xdr:col>15</xdr:col>
      <xdr:colOff>221827</xdr:colOff>
      <xdr:row>54</xdr:row>
      <xdr:rowOff>218848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A8DA0C5-A90A-4438-80C0-86E28E539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10744200"/>
          <a:ext cx="8466667" cy="1819048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5D43C3CB-160E-4D8D-B1D4-D5256C1FB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BF3F42B4-0EA0-4DC5-9DBD-A5F8AFA91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03CA5A9A-A5E0-4450-AEB9-4701D235B2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6690B0C-93EB-4D9B-B973-A36FCE997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42E58085-1F78-49AB-9F88-D9C3AEA5FC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5906F05-705C-4884-A14E-6130C7C66B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7FC6EF82-3102-496F-9BD1-BDD86811F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130E3802-1072-4510-828F-9330875D65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8BF2C2D6-D1D0-4298-A20E-78A0AA317C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D537B74E-96D1-4ABC-92D6-5EFE99391F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10</xdr:col>
      <xdr:colOff>94848</xdr:colOff>
      <xdr:row>14</xdr:row>
      <xdr:rowOff>18648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47F301B-0C10-4D89-8375-2467746DDB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3219048" cy="321904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11</xdr:col>
      <xdr:colOff>789963</xdr:colOff>
      <xdr:row>21</xdr:row>
      <xdr:rowOff>104590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508595E-78E8-42BB-B976-B20214BA2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3429000"/>
          <a:ext cx="4895238" cy="14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11</xdr:col>
      <xdr:colOff>723296</xdr:colOff>
      <xdr:row>29</xdr:row>
      <xdr:rowOff>104590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74DF202-2E33-4801-A797-1C408BA4F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5257800"/>
          <a:ext cx="4828571" cy="14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</xdr:row>
      <xdr:rowOff>0</xdr:rowOff>
    </xdr:from>
    <xdr:to>
      <xdr:col>11</xdr:col>
      <xdr:colOff>637582</xdr:colOff>
      <xdr:row>37</xdr:row>
      <xdr:rowOff>228400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F9143B2-E19B-49C1-8DA5-B75FC942A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7086600"/>
          <a:ext cx="4742857" cy="16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11</xdr:col>
      <xdr:colOff>799487</xdr:colOff>
      <xdr:row>47</xdr:row>
      <xdr:rowOff>95010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DF5DD35-A33B-4DF3-9CED-67830AC57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8875" y="8915400"/>
          <a:ext cx="4904762" cy="1923810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A3F55F35-916A-4823-B517-E73B532D15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1707E767-3C0D-4E5A-896B-14AD53C5A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67A8AFB4-EEE0-4C03-9CD2-7E92187FA1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B2748C2-AF6E-450D-890B-C2D9791F30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DDFCB54A-A654-4286-8525-97E19AB7FA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F2B3BDDD-95DA-4DD0-A65E-5AF65215B3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2157C508-916B-41B5-B543-A4C665CEB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CD987DBF-0B79-4B77-BADB-82DF539CE3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5835BC33-D7A7-477D-975F-E00DC73216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F69F5AB1-8523-49C0-A9AE-C87326F84E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10</xdr:col>
      <xdr:colOff>590086</xdr:colOff>
      <xdr:row>16</xdr:row>
      <xdr:rowOff>113857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2F8783D-D395-4C12-82D7-C40247B9A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3714286" cy="354285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12</xdr:col>
      <xdr:colOff>589814</xdr:colOff>
      <xdr:row>29</xdr:row>
      <xdr:rowOff>209209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B17D6E8-98B4-4DAC-86BF-6BD8A959A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4114800"/>
          <a:ext cx="5885714" cy="272380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</xdr:row>
      <xdr:rowOff>0</xdr:rowOff>
    </xdr:from>
    <xdr:to>
      <xdr:col>12</xdr:col>
      <xdr:colOff>351719</xdr:colOff>
      <xdr:row>39</xdr:row>
      <xdr:rowOff>180724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46F4C8D-6996-4661-9985-D653CCB1E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7086600"/>
          <a:ext cx="5647619" cy="20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41</xdr:row>
      <xdr:rowOff>0</xdr:rowOff>
    </xdr:from>
    <xdr:to>
      <xdr:col>12</xdr:col>
      <xdr:colOff>75529</xdr:colOff>
      <xdr:row>50</xdr:row>
      <xdr:rowOff>9267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F6B6B30-E6D3-46E4-9835-1B928E792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9372600"/>
          <a:ext cx="5371429" cy="20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51</xdr:row>
      <xdr:rowOff>0</xdr:rowOff>
    </xdr:from>
    <xdr:to>
      <xdr:col>12</xdr:col>
      <xdr:colOff>351719</xdr:colOff>
      <xdr:row>59</xdr:row>
      <xdr:rowOff>47390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8FBD7EC-A24F-48F1-B308-191B5C2EA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11658600"/>
          <a:ext cx="5647619" cy="187619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0401A018-A043-454B-BAE9-431A2D9481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8B27F82D-2481-4057-B651-D1E9E2016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F11DF01B-DBDA-4252-BE34-AA938C3CB5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DC19F88C-E78D-4700-8283-6CED82C081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403283E0-C701-4339-8D3F-08DC1DD43E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0617376A-1C7A-42F9-95E5-3F6E171C6D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DD6CE2ED-278F-481F-844A-0B1753800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7C66B746-8AE8-411F-BB73-D519F12B2C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F9470B54-AC45-4739-BBAC-76AAC9B8BD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33F286BA-8CED-452B-B103-408043CA9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10</xdr:col>
      <xdr:colOff>56752</xdr:colOff>
      <xdr:row>15</xdr:row>
      <xdr:rowOff>9095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5695533-E006-4161-9A4E-8405437D7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3180952" cy="34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12</xdr:col>
      <xdr:colOff>46957</xdr:colOff>
      <xdr:row>34</xdr:row>
      <xdr:rowOff>18533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3628435-649B-4A78-A7B8-56E79F12F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3657600"/>
          <a:ext cx="5342857" cy="41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36</xdr:row>
      <xdr:rowOff>0</xdr:rowOff>
    </xdr:from>
    <xdr:to>
      <xdr:col>12</xdr:col>
      <xdr:colOff>770767</xdr:colOff>
      <xdr:row>50</xdr:row>
      <xdr:rowOff>37695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7B6802B-7D7E-4D85-96ED-2C201A140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8229600"/>
          <a:ext cx="6066667" cy="32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12</xdr:col>
      <xdr:colOff>742195</xdr:colOff>
      <xdr:row>63</xdr:row>
      <xdr:rowOff>218733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3F3CD02-D0DC-48AC-9FB9-A25291645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11887200"/>
          <a:ext cx="6038095" cy="27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65</xdr:row>
      <xdr:rowOff>38100</xdr:rowOff>
    </xdr:from>
    <xdr:to>
      <xdr:col>13</xdr:col>
      <xdr:colOff>593488</xdr:colOff>
      <xdr:row>77</xdr:row>
      <xdr:rowOff>28233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6D2BFB1-BB1D-4781-8951-B86212B17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14897100"/>
          <a:ext cx="6971428" cy="2733333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78D057EA-8720-489D-B02C-10A989A0CE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C8D53718-3DA4-4D35-84D0-84C761B74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50B7B781-3111-4EA8-B3E3-F0429C3CA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39D9D9F-B0A6-4F5B-BAE5-F809FEA21A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8D7784A1-CE0B-4164-81EC-61F41B2AB7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F8D137D-7AD6-4FFE-9128-8DD55B4C8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49CB614A-F5CF-4261-9BEF-C5AE32FDD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D610D28-931A-40F8-8297-56648841C5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728E6219-15E9-49CF-AFF1-71DEC1A0C1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B83DE428-23A6-44C9-A99D-4E191EF057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10</xdr:col>
      <xdr:colOff>142467</xdr:colOff>
      <xdr:row>15</xdr:row>
      <xdr:rowOff>37695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45A7642-0010-4630-9FB4-8E6F2E9D0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3266667" cy="32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12</xdr:col>
      <xdr:colOff>542195</xdr:colOff>
      <xdr:row>26</xdr:row>
      <xdr:rowOff>133076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BA33455-F598-4643-9977-1C873A7E91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3886200"/>
          <a:ext cx="5838095" cy="21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27</xdr:row>
      <xdr:rowOff>0</xdr:rowOff>
    </xdr:from>
    <xdr:to>
      <xdr:col>12</xdr:col>
      <xdr:colOff>361243</xdr:colOff>
      <xdr:row>36</xdr:row>
      <xdr:rowOff>142600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6E649F2-D4CA-4ADF-8C03-20998ACE4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6172200"/>
          <a:ext cx="5657143" cy="22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37</xdr:row>
      <xdr:rowOff>0</xdr:rowOff>
    </xdr:from>
    <xdr:to>
      <xdr:col>12</xdr:col>
      <xdr:colOff>237433</xdr:colOff>
      <xdr:row>44</xdr:row>
      <xdr:rowOff>228371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080DCE0-7638-4955-9404-6AA2BD20A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8458200"/>
          <a:ext cx="5533333" cy="18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46</xdr:row>
      <xdr:rowOff>0</xdr:rowOff>
    </xdr:from>
    <xdr:to>
      <xdr:col>12</xdr:col>
      <xdr:colOff>542195</xdr:colOff>
      <xdr:row>57</xdr:row>
      <xdr:rowOff>94924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0B056AE-CBF3-4A8B-84EE-B2AE6C269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8875" y="10515600"/>
          <a:ext cx="5838095" cy="2609524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254B13F5-5488-4B9C-AAAB-77AB01B7B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D45F8CA1-4480-4E1D-8ED1-34EA4D931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1DC72F0F-458A-4A9E-BE1F-FC683925FC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F533D309-6163-44AD-AD35-B2E8960FF7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DBE5B933-752C-4A4B-9538-8E6E84AA7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06CC0856-9651-45BD-9D40-46AE4C7C0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0E098495-6C2E-4405-9808-B54C856239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26D4AB8-4B5E-4EF0-A995-7EE5212F19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CA2309F3-49F5-4989-ACCD-ADBCD6E521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4E61B99F-75A1-42EC-84D1-ED7B2118E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9</xdr:col>
      <xdr:colOff>771167</xdr:colOff>
      <xdr:row>14</xdr:row>
      <xdr:rowOff>104390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63449D5-EB09-4BBA-84C9-99333F92D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2866667" cy="30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12</xdr:col>
      <xdr:colOff>399338</xdr:colOff>
      <xdr:row>27</xdr:row>
      <xdr:rowOff>94895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F742DB2-028B-47E8-B678-ADA0FBCA8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3429000"/>
          <a:ext cx="5695238" cy="28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11</xdr:col>
      <xdr:colOff>885200</xdr:colOff>
      <xdr:row>37</xdr:row>
      <xdr:rowOff>104533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0FF4AD3-5483-476E-80DB-70A917950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6629400"/>
          <a:ext cx="5000000" cy="19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12</xdr:col>
      <xdr:colOff>370767</xdr:colOff>
      <xdr:row>48</xdr:row>
      <xdr:rowOff>28343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F746C0E-509A-491C-9EBD-5C4817577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9144000"/>
          <a:ext cx="5666667" cy="18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49</xdr:row>
      <xdr:rowOff>0</xdr:rowOff>
    </xdr:from>
    <xdr:to>
      <xdr:col>12</xdr:col>
      <xdr:colOff>427909</xdr:colOff>
      <xdr:row>59</xdr:row>
      <xdr:rowOff>161619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8CCFB0-B531-4830-B9D6-2B910A253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11201400"/>
          <a:ext cx="5723809" cy="2447619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DB3B255C-0873-4285-960B-8012A5CE0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8F44B419-2857-456D-B44A-8B6ACC976C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92D58807-ADE3-4C4D-AE5E-66F114A50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DBFF7C0-CCAE-4C7D-94A7-2232B7EA6C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F867CDFB-D0B6-4EDE-BF24-8E02474586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486E714-94D3-4DA2-BD73-C26243053B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8D3418B2-01BB-4BF8-BC64-06E53A045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4DD6C639-8ED7-4A81-BC02-3E3BF2D540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2F252A34-27F1-4A48-92D0-7D7D870D25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2EBE07C7-B0E8-4CB8-812E-D0E0B8A45A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12</xdr:col>
      <xdr:colOff>313624</xdr:colOff>
      <xdr:row>18</xdr:row>
      <xdr:rowOff>209267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D503758-3D3B-4A9D-B6B5-09820C811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8875" y="2057400"/>
          <a:ext cx="5609524" cy="22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12</xdr:col>
      <xdr:colOff>180290</xdr:colOff>
      <xdr:row>28</xdr:row>
      <xdr:rowOff>123581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8FD0394-461C-4FFE-810C-1CC916C4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4572000"/>
          <a:ext cx="5476190" cy="19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12</xdr:col>
      <xdr:colOff>151719</xdr:colOff>
      <xdr:row>36</xdr:row>
      <xdr:rowOff>180752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439106C-80A8-4A02-9194-EA0F46F06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6629400"/>
          <a:ext cx="5447619" cy="178095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38</xdr:row>
      <xdr:rowOff>0</xdr:rowOff>
    </xdr:from>
    <xdr:to>
      <xdr:col>12</xdr:col>
      <xdr:colOff>323148</xdr:colOff>
      <xdr:row>50</xdr:row>
      <xdr:rowOff>37752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7CB7E04-8718-49B1-B9C2-30647C12E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8686800"/>
          <a:ext cx="5619048" cy="2780952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6A8A6623-5042-4B06-96ED-001885B059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3D83E958-25EC-4191-B602-E3C2ABCB1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BC565E11-72EA-4A76-9F3C-02AE7CF37F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9CF44C38-C5B0-4A6F-9133-4F5E7E5158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A3979F6B-37F1-4579-A05C-2F0F70CBD7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8D511900-0F01-40F9-AADE-42458DDC90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20BE490B-CDC9-478C-95A2-3A3D7B6E7D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1BC36506-6984-45F2-B526-C2655F3C56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C8BF98A1-2403-45F2-AD2A-085C98247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2E327E2F-AA61-4474-9A5B-3CD52654F6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10</xdr:col>
      <xdr:colOff>618657</xdr:colOff>
      <xdr:row>16</xdr:row>
      <xdr:rowOff>180524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6B7250F-75D3-4D3F-BE5B-E051A1A72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228600"/>
          <a:ext cx="3742857" cy="36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12</xdr:col>
      <xdr:colOff>551719</xdr:colOff>
      <xdr:row>28</xdr:row>
      <xdr:rowOff>47333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3BDF8BA-D95B-47A2-BE4E-CE01B9DE9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4114800"/>
          <a:ext cx="5847619" cy="23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12</xdr:col>
      <xdr:colOff>570767</xdr:colOff>
      <xdr:row>38</xdr:row>
      <xdr:rowOff>180695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68CFE13-EA84-4E94-AC87-429B9F499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6629400"/>
          <a:ext cx="5866667" cy="22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441108</xdr:colOff>
      <xdr:row>50</xdr:row>
      <xdr:rowOff>94952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2BC825E-85B5-4F85-A4BE-2CEA23001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9144000"/>
          <a:ext cx="6819048" cy="238095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51</xdr:row>
      <xdr:rowOff>0</xdr:rowOff>
    </xdr:from>
    <xdr:to>
      <xdr:col>12</xdr:col>
      <xdr:colOff>827909</xdr:colOff>
      <xdr:row>60</xdr:row>
      <xdr:rowOff>75933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164AD12-524B-46DD-A68A-56BBF68C6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233160" y="11658600"/>
          <a:ext cx="6123809" cy="2133333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C3775687-1183-420C-924E-D0CDA1A53B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7D7EBB35-93AD-4E46-9473-F0920C0124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03CB08F8-C4C4-43D8-9FB2-52563B09B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FDA1096A-8A8E-44BC-8D75-4C8AB7B43B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B5582C79-F336-4DDE-BABD-DDADECED2B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48E9536B-B364-4E3B-8E7E-451F3B5F1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E3B4E765-51ED-4B50-8461-FD94EA0A36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A8E7FB82-FA98-48E0-9690-5C39214C3E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74C49429-1CC6-45FE-91A1-EF6AD64ED1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39E91151-C294-49D3-9A3C-6B43FDB9AD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13</xdr:col>
      <xdr:colOff>589678</xdr:colOff>
      <xdr:row>13</xdr:row>
      <xdr:rowOff>228200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DAD16EC-CF49-4940-A83C-28C89A445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8875" y="0"/>
          <a:ext cx="6971428" cy="32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13</xdr:col>
      <xdr:colOff>523012</xdr:colOff>
      <xdr:row>29</xdr:row>
      <xdr:rowOff>18676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6CA8D7-CB59-4C02-BAE2-B0DF92AF4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8875" y="3657600"/>
          <a:ext cx="6904762" cy="29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13</xdr:col>
      <xdr:colOff>427774</xdr:colOff>
      <xdr:row>42</xdr:row>
      <xdr:rowOff>113943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5A135A-16C6-415C-B592-090066347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8875" y="6858000"/>
          <a:ext cx="6809524" cy="28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43</xdr:row>
      <xdr:rowOff>0</xdr:rowOff>
    </xdr:from>
    <xdr:to>
      <xdr:col>13</xdr:col>
      <xdr:colOff>627774</xdr:colOff>
      <xdr:row>54</xdr:row>
      <xdr:rowOff>228257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44DB544-1C29-4F33-9DC3-826761B71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8875" y="9829800"/>
          <a:ext cx="7009524" cy="2742857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A85E1DC7-2B2C-4AEF-83C6-9863F74D7A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B09112CC-F129-41E9-886C-A5E5FC0D8F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A58ED83B-534E-4357-8663-2EEA69B6B7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81FD0D05-5B11-4A0E-BA94-7EE8CC82A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57F6353D-4058-42B7-A010-1EA2CAA85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32757CD2-7540-44C9-A527-B8C835107F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F6D44751-1F45-4458-A4A8-48FEA44054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28E3468-C747-48D8-B1AD-EC68B7778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912C27D9-A1DD-418D-A616-DA3D24D980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2923F4C5-D490-4A04-B36F-0AD3D71685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12</xdr:col>
      <xdr:colOff>1036072</xdr:colOff>
      <xdr:row>13</xdr:row>
      <xdr:rowOff>30916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91F8E68-0A9D-45A8-AF0E-321C1D1FF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45679" y="0"/>
          <a:ext cx="6342857" cy="30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12</xdr:col>
      <xdr:colOff>759882</xdr:colOff>
      <xdr:row>25</xdr:row>
      <xdr:rowOff>96309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4A68F4F-CCD6-4794-B671-CBE380FB4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45679" y="3469821"/>
          <a:ext cx="6066667" cy="24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27</xdr:row>
      <xdr:rowOff>0</xdr:rowOff>
    </xdr:from>
    <xdr:to>
      <xdr:col>12</xdr:col>
      <xdr:colOff>569405</xdr:colOff>
      <xdr:row>36</xdr:row>
      <xdr:rowOff>175251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0D9BAAE-41DE-4E8B-8670-9B744CBE3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45679" y="6245679"/>
          <a:ext cx="5876190" cy="22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38</xdr:row>
      <xdr:rowOff>0</xdr:rowOff>
    </xdr:from>
    <xdr:to>
      <xdr:col>12</xdr:col>
      <xdr:colOff>731310</xdr:colOff>
      <xdr:row>46</xdr:row>
      <xdr:rowOff>130380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6625A9C-0066-47E8-8C7F-AEEC018A8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45679" y="8790214"/>
          <a:ext cx="6038095" cy="198095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B2F489E8-D673-4E27-889D-32F0159FA6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D13256AD-AE7A-4630-AFE7-89EECE5288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7A010970-468F-4698-8D16-4DB5037857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10E4CEDB-74FE-4D24-A8E0-FA80D0ECFF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5FC62C68-F2C6-4E42-9050-94469AC329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BEFB7BAD-F6A8-4076-BDCB-457CF84A37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F7CBEC10-D4C2-426F-BFDC-ACA01B56EE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5D1336CA-0604-42C5-87AF-DF5E5856EB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2E612EC3-C1B1-4EBA-88AA-E415974C2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4B29CBF3-340E-4646-9E7A-99C0EC7E71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12</xdr:col>
      <xdr:colOff>123148</xdr:colOff>
      <xdr:row>11</xdr:row>
      <xdr:rowOff>66352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E977CDA-93C0-47AD-BBA3-7DA4C591D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5419048" cy="2580952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11</xdr:col>
      <xdr:colOff>904248</xdr:colOff>
      <xdr:row>21</xdr:row>
      <xdr:rowOff>228343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33D663-AA54-4A01-9786-447345A5F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2971800"/>
          <a:ext cx="5019048" cy="20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11</xdr:col>
      <xdr:colOff>1094724</xdr:colOff>
      <xdr:row>29</xdr:row>
      <xdr:rowOff>180781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94932D9-3FE2-4C3B-9775-D6B578942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5257800"/>
          <a:ext cx="5209524" cy="15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</xdr:row>
      <xdr:rowOff>0</xdr:rowOff>
    </xdr:from>
    <xdr:to>
      <xdr:col>11</xdr:col>
      <xdr:colOff>1047105</xdr:colOff>
      <xdr:row>39</xdr:row>
      <xdr:rowOff>66438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32C3A30-4C9F-4EB6-A74D-517DA649A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7086600"/>
          <a:ext cx="5161905" cy="1895238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B920D76D-967A-48F9-A9F0-90A8BDD807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58417" y="2677645"/>
          <a:ext cx="441960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4A6BB17D-C5ED-46DD-A080-2417D46CF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26150" y="2143125"/>
          <a:ext cx="102870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6341961D-A4EA-4807-975E-B96C17F61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40626" y="2276475"/>
          <a:ext cx="933450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68A5A8AA-5D17-4E89-9893-3648059DA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45225" y="3829050"/>
          <a:ext cx="1133475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F0B0D5DB-6CEE-4650-B5CA-2B3F98A9C0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97600" y="3276600"/>
          <a:ext cx="876300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162309CD-3E26-450F-8C3E-8D254FDA9C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1819275"/>
          <a:ext cx="93345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34128144-5B10-4A5A-8CBE-9B4EF9B2D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78875" y="2743200"/>
          <a:ext cx="95250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F26202F9-4761-4F0F-B8D4-9F39AB1125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97775" y="3238500"/>
          <a:ext cx="4514850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EDA4FB6E-482A-461D-86A5-4FCDCBB659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4960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7CFF2772-774D-443C-ADEE-5191DD1CD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4960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11</xdr:col>
      <xdr:colOff>1025159</xdr:colOff>
      <xdr:row>11</xdr:row>
      <xdr:rowOff>166584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A213A9E-A77E-46C4-974D-1947C503C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45087" y="231913"/>
          <a:ext cx="5133333" cy="24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11</xdr:col>
      <xdr:colOff>1139445</xdr:colOff>
      <xdr:row>22</xdr:row>
      <xdr:rowOff>36593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AAC7F65-05DF-4A25-BB16-D4ECC9753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45087" y="3014870"/>
          <a:ext cx="5247619" cy="212381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11</xdr:col>
      <xdr:colOff>1177540</xdr:colOff>
      <xdr:row>32</xdr:row>
      <xdr:rowOff>112783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D396DF5-BA1E-4AFD-9925-0511ED961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45087" y="5334000"/>
          <a:ext cx="5285714" cy="22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11</xdr:col>
      <xdr:colOff>1158493</xdr:colOff>
      <xdr:row>40</xdr:row>
      <xdr:rowOff>43275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5764194-62F4-4435-96DA-FB6CC258C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45087" y="7653130"/>
          <a:ext cx="5266667" cy="1666667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F282CBD4-DBEA-48A4-A261-E041B62B7E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659332" y="2677645"/>
          <a:ext cx="424815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477F2880-C26D-4FED-917B-98DFD20D3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7966055" y="2143125"/>
          <a:ext cx="96393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6883DAEA-0E9C-4287-9BE8-C98E51CC69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9383376" y="2276475"/>
          <a:ext cx="90106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E64AFCFB-0B22-4152-99CA-62F6D54BE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152745" y="3829050"/>
          <a:ext cx="110109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029EE13F-FAD6-4C64-A1DE-9668BA9F57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101310" y="3276600"/>
          <a:ext cx="84772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27B54F53-D6F4-49B8-9C26-2043EA1B78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589240" y="1819275"/>
          <a:ext cx="86868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C38ADA65-1719-4921-A1AF-CE8F669150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589240" y="2743200"/>
          <a:ext cx="88773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2F66A2BF-8EE6-4CAB-8BD4-916EC5DAC2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9440525" y="3238500"/>
          <a:ext cx="428815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D3A71FD2-E2FE-4377-BDF8-3997BFF509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209520" y="2133600"/>
          <a:ext cx="16097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58DFD452-CFB7-4865-8079-8E235737D9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209520" y="2743200"/>
          <a:ext cx="15906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11</xdr:col>
      <xdr:colOff>1025159</xdr:colOff>
      <xdr:row>11</xdr:row>
      <xdr:rowOff>166584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017F1A-00DF-483B-8687-BFEA736E2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981700" y="228600"/>
          <a:ext cx="4972319" cy="245258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11</xdr:col>
      <xdr:colOff>1131825</xdr:colOff>
      <xdr:row>22</xdr:row>
      <xdr:rowOff>36593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E7A603B-3C5C-4727-B673-7F2FAC922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81700" y="2971800"/>
          <a:ext cx="5078985" cy="209399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11</xdr:col>
      <xdr:colOff>1131820</xdr:colOff>
      <xdr:row>32</xdr:row>
      <xdr:rowOff>112783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1EDAAF-969C-4A2E-B083-6B0DA8FB5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81700" y="5257800"/>
          <a:ext cx="5078980" cy="217018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12</xdr:col>
      <xdr:colOff>253</xdr:colOff>
      <xdr:row>40</xdr:row>
      <xdr:rowOff>43275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92C27C6-CDB5-41DC-B3CF-8369224E7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981700" y="7543800"/>
          <a:ext cx="5082793" cy="1643475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B2412719-B446-469D-A981-C0A1FE116B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659332" y="2677645"/>
          <a:ext cx="424815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98846608-1394-4D95-B377-F2CB9400DC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7966055" y="2143125"/>
          <a:ext cx="96393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6182D7F3-FF9B-4C1B-9DBE-05553DD6E8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9383376" y="2276475"/>
          <a:ext cx="90106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DF3458B-3459-4C4A-A5E5-F9743E5F1D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152745" y="3829050"/>
          <a:ext cx="110109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CBA1B53F-CB34-4414-9BC6-FA87A9C802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101310" y="3276600"/>
          <a:ext cx="84772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979B341A-B75A-465E-A9ED-B2E32C31DE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589240" y="1819275"/>
          <a:ext cx="86868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6D7BCA03-89A1-4CAB-916C-6E5801D95B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589240" y="2743200"/>
          <a:ext cx="88773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CA1D8720-AAD6-4690-BC7A-5758588F1F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9440525" y="3238500"/>
          <a:ext cx="428815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8F1C8601-9E0B-417B-B3B6-D06FEA2DEC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209520" y="2133600"/>
          <a:ext cx="16097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8CFEA937-3612-44E1-B706-8F350D8D3F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209520" y="2743200"/>
          <a:ext cx="15906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13</xdr:row>
      <xdr:rowOff>0</xdr:rowOff>
    </xdr:from>
    <xdr:to>
      <xdr:col>11</xdr:col>
      <xdr:colOff>1103250</xdr:colOff>
      <xdr:row>22</xdr:row>
      <xdr:rowOff>36593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C668C52-56FD-459A-BB31-3C475B07E4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981700" y="2971800"/>
          <a:ext cx="5078985" cy="209399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11</xdr:col>
      <xdr:colOff>1103245</xdr:colOff>
      <xdr:row>32</xdr:row>
      <xdr:rowOff>112783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23D9501-6396-48D4-8AC3-A62824E3F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81700" y="5257800"/>
          <a:ext cx="5078980" cy="217018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33</xdr:row>
      <xdr:rowOff>0</xdr:rowOff>
    </xdr:from>
    <xdr:to>
      <xdr:col>12</xdr:col>
      <xdr:colOff>253</xdr:colOff>
      <xdr:row>40</xdr:row>
      <xdr:rowOff>43275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627AC20-F634-4777-8327-9EDD85C4E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81700" y="7543800"/>
          <a:ext cx="5082793" cy="16434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786092</xdr:colOff>
      <xdr:row>11</xdr:row>
      <xdr:rowOff>163045</xdr:rowOff>
    </xdr:from>
    <xdr:to>
      <xdr:col>12</xdr:col>
      <xdr:colOff>843243</xdr:colOff>
      <xdr:row>15</xdr:row>
      <xdr:rowOff>97971</xdr:rowOff>
    </xdr:to>
    <xdr:pic>
      <xdr:nvPicPr>
        <xdr:cNvPr id="2" name="Picture 4">
          <a:extLst>
            <a:ext uri="{FF2B5EF4-FFF2-40B4-BE49-F238E27FC236}">
              <a16:creationId xmlns:a16="http://schemas.microsoft.com/office/drawing/2014/main" id="{E47B39D3-BF9F-4C52-B923-64C5DAADB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948892" y="2677645"/>
          <a:ext cx="4423411" cy="8493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19</xdr:col>
      <xdr:colOff>485775</xdr:colOff>
      <xdr:row>9</xdr:row>
      <xdr:rowOff>85725</xdr:rowOff>
    </xdr:from>
    <xdr:to>
      <xdr:col>21</xdr:col>
      <xdr:colOff>200025</xdr:colOff>
      <xdr:row>14</xdr:row>
      <xdr:rowOff>5095</xdr:rowOff>
    </xdr:to>
    <xdr:pic>
      <xdr:nvPicPr>
        <xdr:cNvPr id="3" name="Picture 15">
          <a:extLst>
            <a:ext uri="{FF2B5EF4-FFF2-40B4-BE49-F238E27FC236}">
              <a16:creationId xmlns:a16="http://schemas.microsoft.com/office/drawing/2014/main" id="{B4ACFFEA-7548-46F5-A07A-C52CE7B6D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705195" y="2143125"/>
          <a:ext cx="1024890" cy="106237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28576</xdr:colOff>
      <xdr:row>9</xdr:row>
      <xdr:rowOff>219075</xdr:rowOff>
    </xdr:from>
    <xdr:to>
      <xdr:col>23</xdr:col>
      <xdr:colOff>304801</xdr:colOff>
      <xdr:row>13</xdr:row>
      <xdr:rowOff>117475</xdr:rowOff>
    </xdr:to>
    <xdr:pic>
      <xdr:nvPicPr>
        <xdr:cNvPr id="4" name="Picture 17">
          <a:extLst>
            <a:ext uri="{FF2B5EF4-FFF2-40B4-BE49-F238E27FC236}">
              <a16:creationId xmlns:a16="http://schemas.microsoft.com/office/drawing/2014/main" id="{2D833861-EDA7-4A86-89D3-AB956DEE54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13956" y="2276475"/>
          <a:ext cx="931545" cy="812800"/>
        </a:xfrm>
        <a:prstGeom prst="rect">
          <a:avLst/>
        </a:prstGeom>
        <a:noFill/>
      </xdr:spPr>
    </xdr:pic>
    <xdr:clientData/>
  </xdr:twoCellAnchor>
  <xdr:twoCellAnchor>
    <xdr:from>
      <xdr:col>20</xdr:col>
      <xdr:colOff>47625</xdr:colOff>
      <xdr:row>16</xdr:row>
      <xdr:rowOff>171450</xdr:rowOff>
    </xdr:from>
    <xdr:to>
      <xdr:col>21</xdr:col>
      <xdr:colOff>523875</xdr:colOff>
      <xdr:row>18</xdr:row>
      <xdr:rowOff>19050</xdr:rowOff>
    </xdr:to>
    <xdr:pic>
      <xdr:nvPicPr>
        <xdr:cNvPr id="5" name="Picture 18">
          <a:extLst>
            <a:ext uri="{FF2B5EF4-FFF2-40B4-BE49-F238E27FC236}">
              <a16:creationId xmlns:a16="http://schemas.microsoft.com/office/drawing/2014/main" id="{0E9255DF-AB42-46D9-80D0-98E46D6FB8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922365" y="3829050"/>
          <a:ext cx="1131570" cy="304800"/>
        </a:xfrm>
        <a:prstGeom prst="rect">
          <a:avLst/>
        </a:prstGeom>
        <a:noFill/>
      </xdr:spPr>
    </xdr:pic>
    <xdr:clientData/>
  </xdr:twoCellAnchor>
  <xdr:twoCellAnchor>
    <xdr:from>
      <xdr:col>19</xdr:col>
      <xdr:colOff>895350</xdr:colOff>
      <xdr:row>14</xdr:row>
      <xdr:rowOff>76200</xdr:rowOff>
    </xdr:from>
    <xdr:to>
      <xdr:col>21</xdr:col>
      <xdr:colOff>219075</xdr:colOff>
      <xdr:row>16</xdr:row>
      <xdr:rowOff>142875</xdr:rowOff>
    </xdr:to>
    <xdr:pic>
      <xdr:nvPicPr>
        <xdr:cNvPr id="6" name="Picture 19">
          <a:extLst>
            <a:ext uri="{FF2B5EF4-FFF2-40B4-BE49-F238E27FC236}">
              <a16:creationId xmlns:a16="http://schemas.microsoft.com/office/drawing/2014/main" id="{0D7D7FC6-9EE4-4245-A97F-7ADA2967C5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18870930" y="3276600"/>
          <a:ext cx="878205" cy="52387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7</xdr:row>
      <xdr:rowOff>219075</xdr:rowOff>
    </xdr:from>
    <xdr:to>
      <xdr:col>25</xdr:col>
      <xdr:colOff>228600</xdr:colOff>
      <xdr:row>12</xdr:row>
      <xdr:rowOff>0</xdr:rowOff>
    </xdr:to>
    <xdr:pic>
      <xdr:nvPicPr>
        <xdr:cNvPr id="7" name="Picture 20">
          <a:extLst>
            <a:ext uri="{FF2B5EF4-FFF2-40B4-BE49-F238E27FC236}">
              <a16:creationId xmlns:a16="http://schemas.microsoft.com/office/drawing/2014/main" id="{18FF3C8F-4E43-4082-B893-93B81F0E1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1819275"/>
          <a:ext cx="929640" cy="923925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609600</xdr:colOff>
      <xdr:row>12</xdr:row>
      <xdr:rowOff>0</xdr:rowOff>
    </xdr:from>
    <xdr:to>
      <xdr:col>25</xdr:col>
      <xdr:colOff>247650</xdr:colOff>
      <xdr:row>13</xdr:row>
      <xdr:rowOff>152400</xdr:rowOff>
    </xdr:to>
    <xdr:pic>
      <xdr:nvPicPr>
        <xdr:cNvPr id="8" name="Picture 21">
          <a:extLst>
            <a:ext uri="{FF2B5EF4-FFF2-40B4-BE49-F238E27FC236}">
              <a16:creationId xmlns:a16="http://schemas.microsoft.com/office/drawing/2014/main" id="{DC6A2A94-4B38-4DE7-BCEE-8EC0E3B84F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1450300" y="2743200"/>
          <a:ext cx="948690" cy="381000"/>
        </a:xfrm>
        <a:prstGeom prst="rect">
          <a:avLst/>
        </a:prstGeom>
        <a:noFill/>
      </xdr:spPr>
    </xdr:pic>
    <xdr:clientData/>
  </xdr:twoCellAnchor>
  <xdr:twoCellAnchor>
    <xdr:from>
      <xdr:col>22</xdr:col>
      <xdr:colOff>85725</xdr:colOff>
      <xdr:row>14</xdr:row>
      <xdr:rowOff>38100</xdr:rowOff>
    </xdr:from>
    <xdr:to>
      <xdr:col>29</xdr:col>
      <xdr:colOff>0</xdr:colOff>
      <xdr:row>16</xdr:row>
      <xdr:rowOff>95250</xdr:rowOff>
    </xdr:to>
    <xdr:pic>
      <xdr:nvPicPr>
        <xdr:cNvPr id="9" name="Picture 22">
          <a:extLst>
            <a:ext uri="{FF2B5EF4-FFF2-40B4-BE49-F238E27FC236}">
              <a16:creationId xmlns:a16="http://schemas.microsoft.com/office/drawing/2014/main" id="{284D9926-EB66-44DE-8E2C-323FDF235F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 bwMode="auto">
        <a:xfrm>
          <a:off x="20271105" y="3238500"/>
          <a:ext cx="4501515" cy="514350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381000</xdr:colOff>
      <xdr:row>9</xdr:row>
      <xdr:rowOff>76200</xdr:rowOff>
    </xdr:from>
    <xdr:to>
      <xdr:col>18</xdr:col>
      <xdr:colOff>276225</xdr:colOff>
      <xdr:row>14</xdr:row>
      <xdr:rowOff>131989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id="{19FC2FB9-EE9C-428E-967A-BB067D449E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834360" y="2133600"/>
          <a:ext cx="1685925" cy="11987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381000</xdr:colOff>
      <xdr:row>12</xdr:row>
      <xdr:rowOff>0</xdr:rowOff>
    </xdr:from>
    <xdr:to>
      <xdr:col>18</xdr:col>
      <xdr:colOff>257175</xdr:colOff>
      <xdr:row>16</xdr:row>
      <xdr:rowOff>210911</xdr:rowOff>
    </xdr:to>
    <xdr:pic>
      <xdr:nvPicPr>
        <xdr:cNvPr id="11" name="Picture 3">
          <a:extLst>
            <a:ext uri="{FF2B5EF4-FFF2-40B4-BE49-F238E27FC236}">
              <a16:creationId xmlns:a16="http://schemas.microsoft.com/office/drawing/2014/main" id="{1052027F-6E2E-4C78-8117-38DA32DAC1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5834360" y="2743200"/>
          <a:ext cx="1666875" cy="11253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12</xdr:col>
      <xdr:colOff>389814</xdr:colOff>
      <xdr:row>15</xdr:row>
      <xdr:rowOff>161476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C456660-20CC-4F6A-A33C-1816DD173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33160" y="0"/>
          <a:ext cx="5685714" cy="35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11</xdr:col>
      <xdr:colOff>1094724</xdr:colOff>
      <xdr:row>28</xdr:row>
      <xdr:rowOff>152067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388B0EB-AD37-4B69-ACC1-7B05FC60C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233160" y="3886200"/>
          <a:ext cx="5209524" cy="26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12</xdr:col>
      <xdr:colOff>8862</xdr:colOff>
      <xdr:row>40</xdr:row>
      <xdr:rowOff>161619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8254563-7F6F-45D3-955F-C54717B3D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233160" y="6858000"/>
          <a:ext cx="5304762" cy="24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42</xdr:row>
      <xdr:rowOff>0</xdr:rowOff>
    </xdr:from>
    <xdr:to>
      <xdr:col>13</xdr:col>
      <xdr:colOff>126822</xdr:colOff>
      <xdr:row>48</xdr:row>
      <xdr:rowOff>47448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920107C-A3FB-47A7-B907-6CF279C40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233160" y="9601200"/>
          <a:ext cx="6504762" cy="14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0</xdr:row>
      <xdr:rowOff>0</xdr:rowOff>
    </xdr:from>
    <xdr:to>
      <xdr:col>17</xdr:col>
      <xdr:colOff>494771</xdr:colOff>
      <xdr:row>12</xdr:row>
      <xdr:rowOff>132990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99F859-A54D-4491-AC5B-4456D134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687300" y="0"/>
          <a:ext cx="4228571" cy="28761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4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5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6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7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8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9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0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1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2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3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4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5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6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7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8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9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0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1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2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3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4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5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6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7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8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9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0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1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Q130"/>
  <sheetViews>
    <sheetView zoomScale="85" zoomScaleNormal="85" workbookViewId="0">
      <selection activeCell="B12" sqref="B12"/>
    </sheetView>
  </sheetViews>
  <sheetFormatPr defaultColWidth="9.1328125" defaultRowHeight="14.25" x14ac:dyDescent="0.45"/>
  <cols>
    <col min="1" max="2" width="10" style="4" customWidth="1"/>
    <col min="3" max="3" width="10.86328125" style="4" customWidth="1"/>
    <col min="4" max="4" width="11.265625" style="4" customWidth="1"/>
    <col min="5" max="5" width="11.3984375" style="4" customWidth="1"/>
    <col min="6" max="6" width="12.73046875" style="4" customWidth="1"/>
    <col min="7" max="8" width="13.73046875" style="4" customWidth="1"/>
    <col min="9" max="12" width="15.73046875" style="3" customWidth="1"/>
    <col min="13" max="13" width="13.73046875" style="4" bestFit="1" customWidth="1"/>
    <col min="14" max="14" width="12.59765625" style="4" bestFit="1" customWidth="1"/>
    <col min="15" max="15" width="12.3984375" style="4" customWidth="1"/>
    <col min="16" max="16" width="13.73046875" style="4" customWidth="1"/>
    <col min="17" max="16384" width="9.1328125" style="4"/>
  </cols>
  <sheetData>
    <row r="1" spans="1:17" ht="19.5" customHeight="1" thickBot="1" x14ac:dyDescent="0.5">
      <c r="A1" s="144" t="s">
        <v>201</v>
      </c>
      <c r="B1" s="144"/>
      <c r="C1" s="144"/>
      <c r="D1" s="144"/>
      <c r="E1" s="144"/>
      <c r="F1" s="144"/>
      <c r="G1" s="144"/>
      <c r="H1" s="1"/>
      <c r="I1" s="2"/>
      <c r="J1" s="2"/>
    </row>
    <row r="2" spans="1:17" ht="15.75" x14ac:dyDescent="0.5">
      <c r="A2" s="145"/>
      <c r="B2" s="146"/>
      <c r="C2" s="147"/>
      <c r="D2" s="5"/>
      <c r="E2" s="6"/>
      <c r="F2" s="148"/>
      <c r="G2" s="149"/>
      <c r="I2" s="7"/>
      <c r="J2" s="7" t="str">
        <f>IF(K3&lt;2, "Two Way Slab", "One way Slab")</f>
        <v>Two Way Slab</v>
      </c>
      <c r="K2" s="7"/>
      <c r="L2" s="7"/>
      <c r="N2" s="4" t="s">
        <v>0</v>
      </c>
    </row>
    <row r="3" spans="1:17" ht="14.25" customHeight="1" x14ac:dyDescent="0.45">
      <c r="A3" s="8"/>
      <c r="B3" s="9" t="s">
        <v>1</v>
      </c>
      <c r="F3" s="9" t="s">
        <v>2</v>
      </c>
      <c r="G3" s="10"/>
      <c r="I3" s="7"/>
      <c r="J3" s="7" t="s">
        <v>3</v>
      </c>
      <c r="K3" s="7">
        <f>F5/F4</f>
        <v>1.4000000000000001</v>
      </c>
      <c r="L3" s="7"/>
    </row>
    <row r="4" spans="1:17" ht="14.25" customHeight="1" x14ac:dyDescent="0.45">
      <c r="A4" s="11" t="s">
        <v>4</v>
      </c>
      <c r="B4" s="12">
        <v>390</v>
      </c>
      <c r="C4" s="13" t="s">
        <v>5</v>
      </c>
      <c r="E4" s="14" t="s">
        <v>6</v>
      </c>
      <c r="F4" s="15">
        <v>7</v>
      </c>
      <c r="G4" s="10" t="s">
        <v>7</v>
      </c>
      <c r="I4" s="7"/>
      <c r="J4" s="7" t="s">
        <v>8</v>
      </c>
      <c r="K4" s="7"/>
      <c r="L4" s="7"/>
    </row>
    <row r="5" spans="1:17" ht="14.25" customHeight="1" x14ac:dyDescent="0.45">
      <c r="A5" s="11" t="s">
        <v>9</v>
      </c>
      <c r="B5" s="12">
        <v>200000</v>
      </c>
      <c r="C5" s="13" t="s">
        <v>5</v>
      </c>
      <c r="E5" s="14" t="s">
        <v>10</v>
      </c>
      <c r="F5" s="15">
        <v>9.8000000000000007</v>
      </c>
      <c r="G5" s="10" t="s">
        <v>7</v>
      </c>
      <c r="I5" s="7" t="s">
        <v>11</v>
      </c>
      <c r="J5" s="7" t="s">
        <v>12</v>
      </c>
      <c r="K5" s="16">
        <v>0.2</v>
      </c>
      <c r="L5" s="17" t="s">
        <v>7</v>
      </c>
    </row>
    <row r="6" spans="1:17" ht="14.25" customHeight="1" x14ac:dyDescent="0.45">
      <c r="A6" s="11" t="s">
        <v>13</v>
      </c>
      <c r="B6" s="12">
        <v>30</v>
      </c>
      <c r="C6" s="13" t="s">
        <v>5</v>
      </c>
      <c r="E6" s="14" t="s">
        <v>14</v>
      </c>
      <c r="F6" s="18">
        <f>K14/180</f>
        <v>0.18666666666666668</v>
      </c>
      <c r="G6" s="10" t="s">
        <v>7</v>
      </c>
      <c r="I6" s="7"/>
      <c r="J6" s="7" t="s">
        <v>15</v>
      </c>
      <c r="K6" s="16">
        <v>0.4</v>
      </c>
      <c r="L6" s="17" t="s">
        <v>7</v>
      </c>
    </row>
    <row r="7" spans="1:17" ht="17.25" customHeight="1" x14ac:dyDescent="0.45">
      <c r="A7" s="11" t="s">
        <v>16</v>
      </c>
      <c r="B7" s="12">
        <v>25</v>
      </c>
      <c r="C7" s="13" t="s">
        <v>17</v>
      </c>
      <c r="E7" s="14" t="s">
        <v>18</v>
      </c>
      <c r="F7" s="19">
        <v>0.2</v>
      </c>
      <c r="G7" s="10" t="s">
        <v>7</v>
      </c>
      <c r="I7" s="7" t="s">
        <v>19</v>
      </c>
      <c r="J7" s="7" t="s">
        <v>20</v>
      </c>
      <c r="K7" s="16">
        <v>0.2</v>
      </c>
      <c r="L7" s="17" t="s">
        <v>7</v>
      </c>
    </row>
    <row r="8" spans="1:17" ht="16.5" customHeight="1" x14ac:dyDescent="0.45">
      <c r="A8" s="8"/>
      <c r="B8" s="14"/>
      <c r="C8" s="13"/>
      <c r="D8" s="13"/>
      <c r="E8" s="14" t="s">
        <v>21</v>
      </c>
      <c r="F8" s="15">
        <v>1</v>
      </c>
      <c r="G8" s="10" t="s">
        <v>7</v>
      </c>
      <c r="I8" s="7"/>
      <c r="J8" s="7" t="s">
        <v>22</v>
      </c>
      <c r="K8" s="16">
        <v>0.4</v>
      </c>
      <c r="L8" s="17" t="s">
        <v>7</v>
      </c>
      <c r="N8" s="4" t="s">
        <v>23</v>
      </c>
    </row>
    <row r="9" spans="1:17" ht="16.5" customHeight="1" x14ac:dyDescent="0.45">
      <c r="A9" s="8"/>
      <c r="B9" s="14"/>
      <c r="C9" s="13"/>
      <c r="D9" s="13"/>
      <c r="E9" s="14" t="s">
        <v>24</v>
      </c>
      <c r="F9" s="15">
        <v>2.5000000000000001E-2</v>
      </c>
      <c r="G9" s="10" t="s">
        <v>7</v>
      </c>
      <c r="I9" s="7"/>
      <c r="J9" s="7" t="s">
        <v>25</v>
      </c>
      <c r="K9" s="20">
        <f>F4</f>
        <v>7</v>
      </c>
      <c r="L9" s="17" t="s">
        <v>7</v>
      </c>
      <c r="O9" s="3"/>
      <c r="P9" s="3"/>
      <c r="Q9" s="3"/>
    </row>
    <row r="10" spans="1:17" ht="14.25" customHeight="1" x14ac:dyDescent="0.45">
      <c r="A10" s="150" t="s">
        <v>26</v>
      </c>
      <c r="B10" s="151"/>
      <c r="C10" s="151"/>
      <c r="D10" s="15" t="s">
        <v>27</v>
      </c>
      <c r="E10" s="9"/>
      <c r="F10" s="15" t="s">
        <v>28</v>
      </c>
      <c r="G10" s="10"/>
      <c r="I10" s="7"/>
      <c r="J10" s="7" t="s">
        <v>29</v>
      </c>
      <c r="K10" s="20">
        <f>F5</f>
        <v>9.8000000000000007</v>
      </c>
      <c r="L10" s="17" t="s">
        <v>7</v>
      </c>
      <c r="O10" s="3"/>
      <c r="P10" s="3"/>
      <c r="Q10" s="3"/>
    </row>
    <row r="11" spans="1:17" ht="15" customHeight="1" x14ac:dyDescent="0.45">
      <c r="A11" s="152" t="s">
        <v>30</v>
      </c>
      <c r="B11" s="3">
        <f>40+0</f>
        <v>40</v>
      </c>
      <c r="C11" s="15"/>
      <c r="D11" s="153">
        <f>C11+C12</f>
        <v>0</v>
      </c>
      <c r="E11" s="154" t="s">
        <v>31</v>
      </c>
      <c r="F11" s="155"/>
      <c r="G11" s="10"/>
      <c r="I11" s="7"/>
      <c r="J11" s="7" t="s">
        <v>32</v>
      </c>
      <c r="K11" s="21">
        <f>F7</f>
        <v>0.2</v>
      </c>
      <c r="L11" s="17" t="s">
        <v>7</v>
      </c>
      <c r="O11" s="3"/>
      <c r="P11" s="3"/>
      <c r="Q11" s="3"/>
    </row>
    <row r="12" spans="1:17" ht="15" customHeight="1" x14ac:dyDescent="0.45">
      <c r="A12" s="152"/>
      <c r="B12" s="3">
        <f>B9-B11-$B$27-(B20/2)</f>
        <v>-40</v>
      </c>
      <c r="C12" s="3"/>
      <c r="D12" s="153"/>
      <c r="E12" s="154"/>
      <c r="F12" s="155"/>
      <c r="G12" s="10"/>
      <c r="I12" s="7"/>
      <c r="J12" s="7" t="s">
        <v>33</v>
      </c>
      <c r="K12" s="20">
        <f>F9</f>
        <v>2.5000000000000001E-2</v>
      </c>
      <c r="L12" s="17" t="s">
        <v>7</v>
      </c>
      <c r="O12" s="3"/>
      <c r="P12" s="3"/>
      <c r="Q12" s="3"/>
    </row>
    <row r="13" spans="1:17" ht="20.25" customHeight="1" x14ac:dyDescent="0.45">
      <c r="A13" s="11" t="s">
        <v>34</v>
      </c>
      <c r="D13" s="15">
        <v>1.92</v>
      </c>
      <c r="E13" s="13" t="s">
        <v>31</v>
      </c>
      <c r="F13" s="15"/>
      <c r="G13" s="10"/>
      <c r="I13" s="7"/>
      <c r="J13" s="7" t="s">
        <v>35</v>
      </c>
      <c r="K13" s="16">
        <v>10</v>
      </c>
      <c r="L13" s="17" t="s">
        <v>36</v>
      </c>
      <c r="O13" s="3"/>
      <c r="P13" s="3"/>
      <c r="Q13" s="3"/>
    </row>
    <row r="14" spans="1:17" ht="15" customHeight="1" x14ac:dyDescent="0.45">
      <c r="A14" s="11" t="s">
        <v>37</v>
      </c>
      <c r="B14" s="3"/>
      <c r="C14" s="13" t="s">
        <v>31</v>
      </c>
      <c r="G14" s="10"/>
      <c r="I14" s="7"/>
      <c r="J14" s="7" t="s">
        <v>38</v>
      </c>
      <c r="K14" s="7">
        <f>(F4+F5)*2</f>
        <v>33.6</v>
      </c>
      <c r="L14" s="7"/>
      <c r="N14" s="4" t="s">
        <v>39</v>
      </c>
      <c r="P14" s="3"/>
      <c r="Q14" s="3"/>
    </row>
    <row r="15" spans="1:17" ht="15" customHeight="1" x14ac:dyDescent="0.45">
      <c r="A15" s="11"/>
      <c r="B15" s="3"/>
      <c r="C15" s="13"/>
      <c r="D15" s="153"/>
      <c r="E15" s="153"/>
      <c r="F15" s="153"/>
      <c r="G15" s="158"/>
      <c r="I15" s="7"/>
      <c r="J15" s="7" t="s">
        <v>40</v>
      </c>
      <c r="K15" s="22">
        <f>$K$9/30</f>
        <v>0.23333333333333334</v>
      </c>
      <c r="L15" s="7"/>
      <c r="Q15" s="3"/>
    </row>
    <row r="16" spans="1:17" ht="15" customHeight="1" x14ac:dyDescent="0.45">
      <c r="A16" s="11"/>
      <c r="B16" s="3"/>
      <c r="C16" s="13"/>
      <c r="D16" s="153"/>
      <c r="E16" s="153"/>
      <c r="F16" s="153"/>
      <c r="G16" s="158"/>
      <c r="I16" s="7"/>
      <c r="J16" s="7"/>
      <c r="K16" s="22">
        <f>$K$9/50</f>
        <v>0.14000000000000001</v>
      </c>
      <c r="L16" s="7"/>
      <c r="Q16" s="3"/>
    </row>
    <row r="17" spans="1:17" ht="15" customHeight="1" x14ac:dyDescent="0.45">
      <c r="A17" s="11"/>
      <c r="B17" s="3"/>
      <c r="C17" s="13"/>
      <c r="D17" s="153"/>
      <c r="E17" s="153"/>
      <c r="F17" s="153"/>
      <c r="G17" s="158"/>
      <c r="I17" s="7"/>
      <c r="J17" s="7" t="s">
        <v>41</v>
      </c>
      <c r="K17" s="7">
        <f>B22*B14*F4^2</f>
        <v>0</v>
      </c>
      <c r="L17" s="7"/>
    </row>
    <row r="18" spans="1:17" ht="15" customHeight="1" x14ac:dyDescent="0.45">
      <c r="A18" s="8"/>
      <c r="D18" s="153"/>
      <c r="E18" s="153"/>
      <c r="F18" s="153"/>
      <c r="G18" s="158"/>
      <c r="I18" s="7"/>
      <c r="J18" s="7" t="s">
        <v>42</v>
      </c>
      <c r="K18" s="7">
        <f>B23*B14*F5^2</f>
        <v>0</v>
      </c>
      <c r="L18" s="7"/>
    </row>
    <row r="19" spans="1:17" ht="14.25" customHeight="1" x14ac:dyDescent="0.45">
      <c r="A19" s="23" t="s">
        <v>43</v>
      </c>
      <c r="D19" s="153"/>
      <c r="E19" s="153"/>
      <c r="F19" s="153"/>
      <c r="G19" s="158"/>
      <c r="I19" s="7"/>
      <c r="J19" s="7" t="s">
        <v>44</v>
      </c>
      <c r="K19" s="7">
        <f>$F$11*E22*$D$11*F4^2+$F$13*$D$13*G22*F4^2</f>
        <v>0</v>
      </c>
      <c r="L19" s="7"/>
    </row>
    <row r="20" spans="1:17" ht="14.25" customHeight="1" x14ac:dyDescent="0.45">
      <c r="A20" s="159" t="s">
        <v>45</v>
      </c>
      <c r="B20" s="153"/>
      <c r="C20" s="24"/>
      <c r="D20" s="153"/>
      <c r="E20" s="153"/>
      <c r="F20" s="153"/>
      <c r="G20" s="158"/>
      <c r="I20" s="7"/>
      <c r="J20" s="7" t="s">
        <v>46</v>
      </c>
      <c r="K20" s="7">
        <f>$F$11*E23*$D$11*F5^2+$F$13*$D$13*G23*F5^2</f>
        <v>0</v>
      </c>
      <c r="L20" s="7"/>
    </row>
    <row r="21" spans="1:17" ht="16.5" customHeight="1" x14ac:dyDescent="0.45">
      <c r="A21" s="159" t="s">
        <v>47</v>
      </c>
      <c r="B21" s="153"/>
      <c r="C21" s="15"/>
      <c r="D21" s="3"/>
      <c r="G21" s="10"/>
      <c r="I21" s="7"/>
      <c r="J21" s="17" t="s">
        <v>48</v>
      </c>
      <c r="K21" s="7"/>
      <c r="L21" s="7"/>
    </row>
    <row r="22" spans="1:17" ht="16.5" customHeight="1" x14ac:dyDescent="0.45">
      <c r="A22" s="25" t="s">
        <v>49</v>
      </c>
      <c r="B22" s="160"/>
      <c r="C22" s="160"/>
      <c r="D22" s="3" t="s">
        <v>50</v>
      </c>
      <c r="E22" s="18"/>
      <c r="F22" s="3" t="s">
        <v>51</v>
      </c>
      <c r="G22" s="26"/>
      <c r="I22" s="7"/>
      <c r="J22" s="7" t="s">
        <v>52</v>
      </c>
      <c r="K22" s="7">
        <f>F4/F5</f>
        <v>0.71428571428571419</v>
      </c>
      <c r="L22" s="7"/>
    </row>
    <row r="23" spans="1:17" ht="18.75" customHeight="1" x14ac:dyDescent="0.45">
      <c r="A23" s="25" t="s">
        <v>53</v>
      </c>
      <c r="B23" s="160"/>
      <c r="C23" s="160"/>
      <c r="D23" s="3" t="s">
        <v>54</v>
      </c>
      <c r="E23" s="18"/>
      <c r="F23" s="3" t="s">
        <v>55</v>
      </c>
      <c r="G23" s="26"/>
      <c r="H23" s="27"/>
      <c r="I23" s="7"/>
      <c r="J23" s="7" t="s">
        <v>56</v>
      </c>
      <c r="K23" s="7">
        <f>$B$14/(1+K22^4)</f>
        <v>0</v>
      </c>
      <c r="L23" s="7" t="s">
        <v>31</v>
      </c>
    </row>
    <row r="24" spans="1:17" ht="18.75" customHeight="1" x14ac:dyDescent="0.45">
      <c r="A24" s="161" t="s">
        <v>57</v>
      </c>
      <c r="B24" s="162"/>
      <c r="C24" s="162"/>
      <c r="D24" s="3" t="s">
        <v>58</v>
      </c>
      <c r="E24" s="3" t="s">
        <v>59</v>
      </c>
      <c r="F24" s="3" t="s">
        <v>60</v>
      </c>
      <c r="G24" s="28" t="s">
        <v>61</v>
      </c>
      <c r="H24" s="29"/>
      <c r="I24" s="7"/>
      <c r="J24" s="7" t="s">
        <v>62</v>
      </c>
      <c r="K24" s="7">
        <f>$B$14*(K22^4/(1+K22^4))</f>
        <v>0</v>
      </c>
      <c r="L24" s="7" t="s">
        <v>31</v>
      </c>
    </row>
    <row r="25" spans="1:17" ht="18" customHeight="1" x14ac:dyDescent="0.45">
      <c r="A25" s="161"/>
      <c r="B25" s="162"/>
      <c r="C25" s="162"/>
      <c r="D25" s="24">
        <v>35</v>
      </c>
      <c r="E25" s="24">
        <v>49</v>
      </c>
      <c r="F25" s="24">
        <v>32</v>
      </c>
      <c r="G25" s="30">
        <v>51</v>
      </c>
      <c r="H25" s="29"/>
      <c r="I25" s="7"/>
      <c r="J25" s="7"/>
      <c r="K25" s="7">
        <f>B49*D39/1000</f>
        <v>5.8577741714506984E-2</v>
      </c>
      <c r="L25" s="7"/>
    </row>
    <row r="26" spans="1:17" ht="14.25" customHeight="1" x14ac:dyDescent="0.45">
      <c r="A26" s="159" t="s">
        <v>63</v>
      </c>
      <c r="B26" s="153"/>
      <c r="C26" s="153"/>
      <c r="D26" s="31">
        <f>$F$7-$K$12-($K$13/2/1000)</f>
        <v>0.17</v>
      </c>
      <c r="E26" s="31">
        <f>$F$7-$K$12-($K$13/2/1000)</f>
        <v>0.17</v>
      </c>
      <c r="F26" s="31">
        <f>$F$7-$K$12-($K$13/2/1000)-(K13/1000)</f>
        <v>0.16</v>
      </c>
      <c r="G26" s="32">
        <f>$F$7-$K$12-($K$13/2/1000)-(K13/1000)</f>
        <v>0.16</v>
      </c>
      <c r="H26" s="29"/>
    </row>
    <row r="27" spans="1:17" ht="18" customHeight="1" x14ac:dyDescent="0.45">
      <c r="A27" s="159" t="s">
        <v>64</v>
      </c>
      <c r="B27" s="153"/>
      <c r="C27" s="153"/>
      <c r="D27" s="27">
        <f>F8*D25</f>
        <v>35</v>
      </c>
      <c r="E27" s="27">
        <f>$F$8*E25</f>
        <v>49</v>
      </c>
      <c r="F27" s="27">
        <f>F25*$F$8</f>
        <v>32</v>
      </c>
      <c r="G27" s="33">
        <f>F8*$G$25</f>
        <v>51</v>
      </c>
      <c r="H27" s="29"/>
      <c r="I27" s="7"/>
      <c r="J27" s="34">
        <f>C20</f>
        <v>0</v>
      </c>
      <c r="K27" s="7">
        <v>0.9</v>
      </c>
      <c r="L27" s="7">
        <v>0.85</v>
      </c>
      <c r="N27" s="4">
        <f>2500*3+1500</f>
        <v>9000</v>
      </c>
    </row>
    <row r="28" spans="1:17" ht="12" customHeight="1" x14ac:dyDescent="0.45">
      <c r="A28" s="159" t="s">
        <v>65</v>
      </c>
      <c r="B28" s="153"/>
      <c r="C28" s="153"/>
      <c r="D28" s="27">
        <f>D27/0.9</f>
        <v>38.888888888888886</v>
      </c>
      <c r="E28" s="27">
        <f>E27/0.9</f>
        <v>54.444444444444443</v>
      </c>
      <c r="F28" s="27">
        <f>F27/0.9</f>
        <v>35.555555555555557</v>
      </c>
      <c r="G28" s="33">
        <f>G27/0.9</f>
        <v>56.666666666666664</v>
      </c>
      <c r="H28" s="29"/>
      <c r="I28" s="7" t="str">
        <f>A22</f>
        <v>Caneg=</v>
      </c>
      <c r="J28" s="7">
        <f>L28+(K28-L28)/(K27-L27)*(K27-J27)</f>
        <v>-2.9999999999999888E-2</v>
      </c>
      <c r="K28" s="35">
        <v>5.5E-2</v>
      </c>
      <c r="L28" s="35">
        <v>0.06</v>
      </c>
    </row>
    <row r="29" spans="1:17" x14ac:dyDescent="0.45">
      <c r="A29" s="159" t="s">
        <v>66</v>
      </c>
      <c r="B29" s="153"/>
      <c r="C29" s="153"/>
      <c r="D29" s="27">
        <f>D28/(F8*D26^2)/1000</f>
        <v>1.3456362937331792</v>
      </c>
      <c r="E29" s="27">
        <f>E28/($F$8*E26^2)/1000</f>
        <v>1.883890811226451</v>
      </c>
      <c r="F29" s="27">
        <f>F28/($F$8*F26^2)/1000</f>
        <v>1.3888888888888888</v>
      </c>
      <c r="G29" s="33">
        <f>G28/($F$8*G26^2)/1000</f>
        <v>2.2135416666666665</v>
      </c>
      <c r="H29" s="29"/>
      <c r="I29" s="7" t="str">
        <f>A23</f>
        <v>Cbneg=</v>
      </c>
      <c r="J29" s="7">
        <f>L29+(K29-L29)/(K27-L27)*(K27-J27)</f>
        <v>0.13899999999999987</v>
      </c>
      <c r="K29" s="35">
        <v>3.6999999999999998E-2</v>
      </c>
      <c r="L29" s="35">
        <v>3.1E-2</v>
      </c>
    </row>
    <row r="30" spans="1:17" x14ac:dyDescent="0.45">
      <c r="A30" s="156" t="s">
        <v>67</v>
      </c>
      <c r="B30" s="157"/>
      <c r="C30" s="157"/>
      <c r="D30" s="36">
        <f>(0.85*$B$6/$B$4)*(1-SQRT(1-(2*D29/(0.85*$B$6))))</f>
        <v>3.5465334061782444E-3</v>
      </c>
      <c r="E30" s="36">
        <f>(0.85*$B$6/$B$4)*(1-SQRT(1-(2*E29/(0.85*$B$6))))</f>
        <v>5.0234642666732738E-3</v>
      </c>
      <c r="F30" s="36">
        <f>(0.85*$B$6/$B$4)*(1-SQRT(1-(2*F29/(0.85*$B$6))))</f>
        <v>3.663909456906075E-3</v>
      </c>
      <c r="G30" s="37">
        <f>(0.85*$B$6/$B$4)*(1-SQRT(1-(2*G29/(0.85*$B$6))))</f>
        <v>5.9461198882028391E-3</v>
      </c>
      <c r="H30" s="29"/>
    </row>
    <row r="31" spans="1:17" x14ac:dyDescent="0.45">
      <c r="A31" s="156" t="s">
        <v>68</v>
      </c>
      <c r="B31" s="157"/>
      <c r="C31" s="157"/>
      <c r="D31" s="31">
        <f>0.85</f>
        <v>0.85</v>
      </c>
      <c r="E31" s="31">
        <f>0.85</f>
        <v>0.85</v>
      </c>
      <c r="F31" s="31">
        <f>0.85</f>
        <v>0.85</v>
      </c>
      <c r="G31" s="32">
        <f>0.85</f>
        <v>0.85</v>
      </c>
      <c r="H31" s="29"/>
      <c r="I31" s="7"/>
      <c r="J31" s="34">
        <f>C20</f>
        <v>0</v>
      </c>
      <c r="K31" s="7">
        <v>0.9</v>
      </c>
      <c r="L31" s="7">
        <v>0.85</v>
      </c>
    </row>
    <row r="32" spans="1:17" ht="15.75" x14ac:dyDescent="0.45">
      <c r="A32" s="159" t="s">
        <v>69</v>
      </c>
      <c r="B32" s="153"/>
      <c r="C32" s="153"/>
      <c r="D32" s="27">
        <f>D30*F8*D26*10^4</f>
        <v>6.0291067905030156</v>
      </c>
      <c r="E32" s="27">
        <f>E30*F8*E26*10^4</f>
        <v>8.5398892533445654</v>
      </c>
      <c r="F32" s="27">
        <f>F30*$F$8*F26*10^4</f>
        <v>5.8622551310497206</v>
      </c>
      <c r="G32" s="33">
        <f>G30*$F$8*G26*10^4</f>
        <v>9.513791821124542</v>
      </c>
      <c r="H32" s="29"/>
      <c r="I32" s="7" t="str">
        <f>D22</f>
        <v>CaposDL=</v>
      </c>
      <c r="J32" s="7">
        <f>L32+(K32-L32)/(K31-L31)*(K31-J31)</f>
        <v>-1.2000000000000004E-2</v>
      </c>
      <c r="K32" s="35">
        <v>2.1999999999999999E-2</v>
      </c>
      <c r="L32" s="35">
        <v>2.4E-2</v>
      </c>
      <c r="N32" s="24">
        <v>35</v>
      </c>
      <c r="O32" s="24">
        <v>49</v>
      </c>
      <c r="P32" s="24">
        <v>32</v>
      </c>
      <c r="Q32" s="24">
        <v>51</v>
      </c>
    </row>
    <row r="33" spans="1:12" ht="15.75" x14ac:dyDescent="0.45">
      <c r="A33" s="159" t="s">
        <v>70</v>
      </c>
      <c r="B33" s="153"/>
      <c r="C33" s="153"/>
      <c r="D33" s="27">
        <f>0.0018*$B$4*F7*10^4/413.68</f>
        <v>3.3939276735641073</v>
      </c>
      <c r="E33" s="27">
        <f>0.0018*$B$4*F7*10^4/413.68</f>
        <v>3.3939276735641073</v>
      </c>
      <c r="F33" s="27">
        <f>0.0018*$B$4*F7*10^4/413.68</f>
        <v>3.3939276735641073</v>
      </c>
      <c r="G33" s="33">
        <f>0.0018*$B$4*F7*10^4/413.68</f>
        <v>3.3939276735641073</v>
      </c>
      <c r="I33" s="7" t="str">
        <f>D23</f>
        <v>CbposDL=</v>
      </c>
      <c r="J33" s="7">
        <f>L33+(K33-L33)/(K31-L31)*(K31-J31)</f>
        <v>4.7999999999999973E-2</v>
      </c>
      <c r="K33" s="35">
        <v>1.4E-2</v>
      </c>
      <c r="L33" s="35">
        <v>1.2E-2</v>
      </c>
    </row>
    <row r="34" spans="1:12" ht="15.75" x14ac:dyDescent="0.45">
      <c r="A34" s="159" t="s">
        <v>71</v>
      </c>
      <c r="B34" s="153"/>
      <c r="C34" s="153"/>
      <c r="D34" s="38">
        <f>MAX(D32:D33)</f>
        <v>6.0291067905030156</v>
      </c>
      <c r="E34" s="38">
        <f>MAX(E32:E33)</f>
        <v>8.5398892533445654</v>
      </c>
      <c r="F34" s="38">
        <f>MAX(F32:F33)</f>
        <v>5.8622551310497206</v>
      </c>
      <c r="G34" s="39">
        <f>MAX(G32:G33)</f>
        <v>9.513791821124542</v>
      </c>
      <c r="I34" s="27"/>
    </row>
    <row r="35" spans="1:12" x14ac:dyDescent="0.45">
      <c r="A35" s="163" t="s">
        <v>35</v>
      </c>
      <c r="B35" s="155"/>
      <c r="C35" s="155"/>
      <c r="D35" s="40">
        <v>12</v>
      </c>
      <c r="E35" s="40">
        <v>12</v>
      </c>
      <c r="F35" s="40">
        <v>12</v>
      </c>
      <c r="G35" s="41">
        <v>12</v>
      </c>
      <c r="I35" s="7"/>
      <c r="J35" s="34">
        <f>C20</f>
        <v>0</v>
      </c>
      <c r="K35" s="7">
        <v>0.9</v>
      </c>
      <c r="L35" s="7">
        <v>0.85</v>
      </c>
    </row>
    <row r="36" spans="1:12" x14ac:dyDescent="0.45">
      <c r="A36" s="159" t="s">
        <v>72</v>
      </c>
      <c r="B36" s="153"/>
      <c r="C36" s="153"/>
      <c r="D36" s="27">
        <f>(D35^2*PI()/4)*F8*1000/D34/100</f>
        <v>187.5855569640635</v>
      </c>
      <c r="E36" s="27">
        <f>(E35^2*PI()/4)*$F$8*1000/E34/100</f>
        <v>132.43419460614092</v>
      </c>
      <c r="F36" s="27">
        <f>(F35^2*PI()/4)*$F$8*1000/F34/100</f>
        <v>192.92462201142865</v>
      </c>
      <c r="G36" s="33">
        <f>(G35^2*PI()/4)*$F$8*1000/G34/100</f>
        <v>118.87724437916522</v>
      </c>
      <c r="I36" s="7" t="str">
        <f>F22</f>
        <v>CaposLL=</v>
      </c>
      <c r="J36" s="7">
        <f>L36+(K36-L36)/(K35-L35)*(K35-J35)</f>
        <v>-1.6999999999999876E-2</v>
      </c>
      <c r="K36" s="35">
        <v>3.4000000000000002E-2</v>
      </c>
      <c r="L36" s="35">
        <v>3.6999999999999998E-2</v>
      </c>
    </row>
    <row r="37" spans="1:12" x14ac:dyDescent="0.45">
      <c r="A37" s="159" t="s">
        <v>73</v>
      </c>
      <c r="B37" s="153"/>
      <c r="C37" s="153"/>
      <c r="D37" s="31">
        <f>MIN(2*$F$7*1000,450)</f>
        <v>400</v>
      </c>
      <c r="E37" s="31">
        <f>MIN(2*$F$7*1000,450)</f>
        <v>400</v>
      </c>
      <c r="F37" s="31">
        <f>MIN(2*$F$7*1000,450)</f>
        <v>400</v>
      </c>
      <c r="G37" s="32">
        <f>MIN(2*$F$7*1000,450)</f>
        <v>400</v>
      </c>
      <c r="I37" s="7" t="str">
        <f>F23</f>
        <v>CbposLL=</v>
      </c>
      <c r="J37" s="7">
        <f>L37+(K37-L37)/(K35-L35)*(K35-J35)</f>
        <v>7.299999999999994E-2</v>
      </c>
      <c r="K37" s="35">
        <v>2.1999999999999999E-2</v>
      </c>
      <c r="L37" s="35">
        <v>1.9E-2</v>
      </c>
    </row>
    <row r="38" spans="1:12" x14ac:dyDescent="0.45">
      <c r="A38" s="163" t="s">
        <v>74</v>
      </c>
      <c r="B38" s="155"/>
      <c r="C38" s="155"/>
      <c r="D38" s="42">
        <v>150</v>
      </c>
      <c r="E38" s="42">
        <v>100</v>
      </c>
      <c r="F38" s="42">
        <v>150</v>
      </c>
      <c r="G38" s="43">
        <v>100</v>
      </c>
    </row>
    <row r="39" spans="1:12" ht="15.75" x14ac:dyDescent="0.45">
      <c r="A39" s="164" t="s">
        <v>75</v>
      </c>
      <c r="B39" s="165"/>
      <c r="C39" s="165"/>
      <c r="D39" s="44">
        <f>F8*(D35^2*PI()/4)/D38*10</f>
        <v>7.5398223686155035</v>
      </c>
      <c r="E39" s="44">
        <f>F8*(E35^2*PI()/4)/E38*10</f>
        <v>11.309733552923255</v>
      </c>
      <c r="F39" s="44">
        <f>$F$8*(F35^2*PI()/4)/F38*10</f>
        <v>7.5398223686155035</v>
      </c>
      <c r="G39" s="45">
        <f>$F$8*(G35^2*PI()/4)/G38*10</f>
        <v>11.309733552923255</v>
      </c>
    </row>
    <row r="40" spans="1:12" ht="15" customHeight="1" thickBot="1" x14ac:dyDescent="0.5">
      <c r="A40" s="166" t="s">
        <v>76</v>
      </c>
      <c r="B40" s="167"/>
      <c r="C40" s="167"/>
      <c r="D40" s="46">
        <f>D39/D34</f>
        <v>1.2505703797604233</v>
      </c>
      <c r="E40" s="46">
        <f>E39/E34</f>
        <v>1.324341946061409</v>
      </c>
      <c r="F40" s="46">
        <f>F39/F34</f>
        <v>1.2861641467428577</v>
      </c>
      <c r="G40" s="47">
        <f>G39/G34</f>
        <v>1.1887724437916523</v>
      </c>
    </row>
    <row r="41" spans="1:12" x14ac:dyDescent="0.45">
      <c r="D41" s="48" t="str">
        <f>IF(D40&gt;1,"OK","NO")</f>
        <v>OK</v>
      </c>
      <c r="E41" s="48" t="str">
        <f t="shared" ref="E41:G41" si="0">IF(E40&gt;1,"OK","NO")</f>
        <v>OK</v>
      </c>
      <c r="F41" s="48" t="str">
        <f t="shared" si="0"/>
        <v>OK</v>
      </c>
      <c r="G41" s="48" t="str">
        <f t="shared" si="0"/>
        <v>OK</v>
      </c>
    </row>
    <row r="42" spans="1:12" ht="14.65" thickBot="1" x14ac:dyDescent="0.5"/>
    <row r="43" spans="1:12" ht="15.75" x14ac:dyDescent="0.45">
      <c r="A43" s="49" t="s">
        <v>77</v>
      </c>
      <c r="B43" s="50"/>
      <c r="C43" s="50"/>
      <c r="D43" s="51"/>
      <c r="E43" s="50"/>
      <c r="F43" s="50"/>
      <c r="G43" s="52"/>
      <c r="H43" s="53"/>
    </row>
    <row r="44" spans="1:12" x14ac:dyDescent="0.45">
      <c r="A44" s="11" t="s">
        <v>78</v>
      </c>
      <c r="B44" s="3">
        <f>4700*SQRT($B$6)</f>
        <v>25742.960202742808</v>
      </c>
      <c r="C44" s="4" t="s">
        <v>5</v>
      </c>
      <c r="D44" s="9"/>
      <c r="E44" s="54" t="s">
        <v>79</v>
      </c>
      <c r="F44" s="54">
        <v>3</v>
      </c>
      <c r="G44" s="55"/>
      <c r="H44" s="3"/>
    </row>
    <row r="45" spans="1:12" ht="15.75" x14ac:dyDescent="0.45">
      <c r="A45" s="11" t="s">
        <v>80</v>
      </c>
      <c r="B45" s="56">
        <f>F8*F7^3/12</f>
        <v>6.6666666666666686E-4</v>
      </c>
      <c r="C45" s="4" t="s">
        <v>81</v>
      </c>
      <c r="D45" s="3"/>
      <c r="E45" s="168" t="s">
        <v>82</v>
      </c>
      <c r="F45" s="169"/>
      <c r="G45" s="170"/>
    </row>
    <row r="46" spans="1:12" x14ac:dyDescent="0.45">
      <c r="A46" s="11" t="s">
        <v>83</v>
      </c>
      <c r="B46" s="3">
        <f>0.63*SQRT($B$6)</f>
        <v>3.4506521122825466</v>
      </c>
      <c r="C46" s="4" t="s">
        <v>5</v>
      </c>
      <c r="D46" s="3"/>
      <c r="E46" s="57" t="s">
        <v>84</v>
      </c>
      <c r="F46" s="58">
        <f>1000*B53*F4^2*$F$8/(16*$B$44*$B$51*1000)</f>
        <v>6.8531200160008785</v>
      </c>
      <c r="G46" s="55" t="s">
        <v>36</v>
      </c>
    </row>
    <row r="47" spans="1:12" x14ac:dyDescent="0.45">
      <c r="A47" s="11" t="s">
        <v>85</v>
      </c>
      <c r="B47" s="3">
        <f>F7/2</f>
        <v>0.1</v>
      </c>
      <c r="C47" s="4" t="s">
        <v>7</v>
      </c>
      <c r="E47" s="59" t="s">
        <v>86</v>
      </c>
      <c r="F47" s="58">
        <f>1000*B54*F5^2*$F$8/(16*$B$44*$B$51*1000)</f>
        <v>12.685886607397183</v>
      </c>
      <c r="G47" s="55" t="s">
        <v>36</v>
      </c>
    </row>
    <row r="48" spans="1:12" x14ac:dyDescent="0.45">
      <c r="A48" s="11" t="s">
        <v>87</v>
      </c>
      <c r="B48" s="24">
        <f>B46*B45*1000/B47</f>
        <v>23.004347415216984</v>
      </c>
      <c r="C48" s="4" t="s">
        <v>88</v>
      </c>
      <c r="D48" s="3"/>
      <c r="E48" s="59" t="s">
        <v>89</v>
      </c>
      <c r="F48" s="58">
        <f>(F46+F47)/2</f>
        <v>9.7695033116990313</v>
      </c>
      <c r="G48" s="55" t="s">
        <v>36</v>
      </c>
    </row>
    <row r="49" spans="1:15" x14ac:dyDescent="0.45">
      <c r="A49" s="11" t="s">
        <v>90</v>
      </c>
      <c r="B49" s="60">
        <f>B5/B44</f>
        <v>7.7691142908534196</v>
      </c>
      <c r="D49" s="3"/>
      <c r="E49" s="61" t="s">
        <v>91</v>
      </c>
      <c r="F49" s="58">
        <f>F48*F44/2</f>
        <v>14.654254967548546</v>
      </c>
      <c r="G49" s="55" t="s">
        <v>36</v>
      </c>
    </row>
    <row r="50" spans="1:15" x14ac:dyDescent="0.45">
      <c r="A50" s="11" t="s">
        <v>92</v>
      </c>
      <c r="B50" s="18">
        <f>(-K25+SQRT(K25^2+2*K25*F8*E26))/F8</f>
        <v>9.422207506320994E-2</v>
      </c>
      <c r="C50" s="4" t="s">
        <v>7</v>
      </c>
      <c r="E50" s="168" t="s">
        <v>93</v>
      </c>
      <c r="F50" s="169"/>
      <c r="G50" s="170"/>
    </row>
    <row r="51" spans="1:15" ht="15.75" x14ac:dyDescent="0.45">
      <c r="A51" s="11" t="s">
        <v>94</v>
      </c>
      <c r="B51" s="56">
        <f>(F8*B50^3/3)+(B49*D39/10000*(E26-B50)^2)</f>
        <v>3.1246528900949564E-4</v>
      </c>
      <c r="C51" s="4" t="s">
        <v>81</v>
      </c>
      <c r="E51" s="62" t="s">
        <v>95</v>
      </c>
      <c r="F51" s="58">
        <f>1000*3*B55*F4^2*$F$8/(32*$B$44*$B$51*1000)</f>
        <v>4.5687466773339187</v>
      </c>
      <c r="G51" s="55" t="s">
        <v>36</v>
      </c>
      <c r="H51" s="63"/>
      <c r="J51" s="153"/>
      <c r="K51" s="153"/>
      <c r="L51" s="153"/>
      <c r="M51" s="3"/>
      <c r="N51" s="3"/>
      <c r="O51" s="3"/>
    </row>
    <row r="52" spans="1:15" ht="15.75" x14ac:dyDescent="0.45">
      <c r="A52" s="11" t="s">
        <v>96</v>
      </c>
      <c r="B52" s="56">
        <f>(B48/B53)^3*B45+(1-(B48/B53)^3)*B51</f>
        <v>1.0518364108282516E-3</v>
      </c>
      <c r="C52" s="4" t="s">
        <v>81</v>
      </c>
      <c r="E52" s="62" t="s">
        <v>97</v>
      </c>
      <c r="F52" s="58">
        <f>1000*3*B56*F5^2*$F$8/(32*$B$44*$B$51*1000)</f>
        <v>7.8354005516276732</v>
      </c>
      <c r="G52" s="55" t="s">
        <v>36</v>
      </c>
      <c r="J52" s="173"/>
      <c r="K52" s="173"/>
      <c r="L52" s="173"/>
      <c r="M52" s="3"/>
      <c r="N52" s="3"/>
      <c r="O52" s="3"/>
    </row>
    <row r="53" spans="1:15" ht="15.75" x14ac:dyDescent="0.45">
      <c r="A53" s="11" t="s">
        <v>98</v>
      </c>
      <c r="B53" s="24">
        <v>18</v>
      </c>
      <c r="C53" s="4" t="s">
        <v>88</v>
      </c>
      <c r="E53" s="62" t="s">
        <v>99</v>
      </c>
      <c r="F53" s="58">
        <f>(F51+F52)/2</f>
        <v>6.2020736144807955</v>
      </c>
      <c r="G53" s="64" t="s">
        <v>36</v>
      </c>
      <c r="J53" s="173"/>
      <c r="K53" s="173"/>
      <c r="L53" s="173"/>
      <c r="M53" s="3"/>
      <c r="N53" s="65"/>
      <c r="O53" s="65"/>
    </row>
    <row r="54" spans="1:15" ht="15.75" x14ac:dyDescent="0.45">
      <c r="A54" s="11" t="s">
        <v>100</v>
      </c>
      <c r="B54" s="24">
        <v>17</v>
      </c>
      <c r="C54" s="4" t="s">
        <v>88</v>
      </c>
      <c r="E54" s="168" t="s">
        <v>101</v>
      </c>
      <c r="F54" s="169"/>
      <c r="G54" s="170"/>
      <c r="J54" s="173"/>
      <c r="K54" s="173"/>
      <c r="L54" s="173"/>
      <c r="M54" s="3"/>
      <c r="N54" s="65"/>
      <c r="O54" s="65"/>
    </row>
    <row r="55" spans="1:15" ht="15.75" x14ac:dyDescent="0.45">
      <c r="A55" s="11" t="s">
        <v>102</v>
      </c>
      <c r="B55" s="24">
        <v>8</v>
      </c>
      <c r="C55" s="4" t="s">
        <v>88</v>
      </c>
      <c r="E55" s="62" t="s">
        <v>103</v>
      </c>
      <c r="F55" s="66">
        <f>F49+F53</f>
        <v>20.856328582029342</v>
      </c>
      <c r="G55" s="55" t="s">
        <v>36</v>
      </c>
      <c r="J55" s="173"/>
      <c r="K55" s="173"/>
      <c r="L55" s="173"/>
      <c r="M55" s="3"/>
      <c r="N55" s="65"/>
      <c r="O55" s="65"/>
    </row>
    <row r="56" spans="1:15" ht="15.75" x14ac:dyDescent="0.45">
      <c r="A56" s="11" t="s">
        <v>104</v>
      </c>
      <c r="B56" s="24">
        <v>7</v>
      </c>
      <c r="C56" s="4" t="s">
        <v>88</v>
      </c>
      <c r="E56" s="62" t="s">
        <v>105</v>
      </c>
      <c r="F56" s="137">
        <f>F4/240*1000</f>
        <v>29.166666666666668</v>
      </c>
      <c r="G56" s="67" t="s">
        <v>36</v>
      </c>
      <c r="K56" s="68"/>
      <c r="L56" s="68"/>
    </row>
    <row r="57" spans="1:15" ht="15" x14ac:dyDescent="0.45">
      <c r="A57" s="8"/>
      <c r="F57" s="174" t="str">
        <f>IF((F55/F56)&lt;1,"OK","NO")</f>
        <v>OK</v>
      </c>
      <c r="G57" s="175"/>
      <c r="K57" s="68"/>
      <c r="L57" s="68"/>
    </row>
    <row r="58" spans="1:15" ht="15" x14ac:dyDescent="0.45">
      <c r="A58" s="8"/>
      <c r="G58" s="10"/>
      <c r="K58" s="68"/>
      <c r="L58" s="68"/>
    </row>
    <row r="59" spans="1:15" ht="15" x14ac:dyDescent="0.45">
      <c r="A59" s="8"/>
      <c r="B59" s="168" t="s">
        <v>106</v>
      </c>
      <c r="C59" s="169"/>
      <c r="D59" s="171"/>
      <c r="E59" s="62" t="s">
        <v>35</v>
      </c>
      <c r="F59" s="62" t="s">
        <v>107</v>
      </c>
      <c r="G59" s="10"/>
      <c r="K59" s="68"/>
      <c r="L59" s="69"/>
    </row>
    <row r="60" spans="1:15" ht="15" x14ac:dyDescent="0.45">
      <c r="A60" s="8"/>
      <c r="B60" s="172" t="s">
        <v>108</v>
      </c>
      <c r="C60" s="172"/>
      <c r="D60" s="62" t="s">
        <v>109</v>
      </c>
      <c r="E60" s="70">
        <f>K13</f>
        <v>10</v>
      </c>
      <c r="F60" s="71">
        <f>D38</f>
        <v>150</v>
      </c>
      <c r="G60" s="10"/>
      <c r="K60" s="68"/>
      <c r="L60" s="68"/>
    </row>
    <row r="61" spans="1:15" ht="16.5" customHeight="1" x14ac:dyDescent="0.45">
      <c r="A61" s="8"/>
      <c r="B61" s="172"/>
      <c r="C61" s="172"/>
      <c r="D61" s="62" t="s">
        <v>110</v>
      </c>
      <c r="E61" s="70">
        <f>E60</f>
        <v>10</v>
      </c>
      <c r="F61" s="71">
        <f>F38</f>
        <v>150</v>
      </c>
      <c r="G61" s="72"/>
      <c r="K61" s="68"/>
      <c r="L61" s="68"/>
    </row>
    <row r="62" spans="1:15" ht="16.5" customHeight="1" x14ac:dyDescent="0.45">
      <c r="A62" s="8"/>
      <c r="B62" s="172" t="s">
        <v>111</v>
      </c>
      <c r="C62" s="172"/>
      <c r="D62" s="62" t="s">
        <v>109</v>
      </c>
      <c r="E62" s="70">
        <f t="shared" ref="E62:E63" si="1">E61</f>
        <v>10</v>
      </c>
      <c r="F62" s="71">
        <f>E38</f>
        <v>100</v>
      </c>
      <c r="G62" s="10"/>
      <c r="K62" s="68"/>
      <c r="L62" s="68"/>
    </row>
    <row r="63" spans="1:15" ht="16.5" customHeight="1" x14ac:dyDescent="0.45">
      <c r="A63" s="8"/>
      <c r="B63" s="172"/>
      <c r="C63" s="172"/>
      <c r="D63" s="62" t="s">
        <v>110</v>
      </c>
      <c r="E63" s="70">
        <f t="shared" si="1"/>
        <v>10</v>
      </c>
      <c r="F63" s="71">
        <f>G38</f>
        <v>100</v>
      </c>
      <c r="G63" s="10"/>
      <c r="K63" s="68"/>
      <c r="L63" s="68"/>
    </row>
    <row r="64" spans="1:15" ht="16.5" customHeight="1" x14ac:dyDescent="0.45">
      <c r="A64" s="8"/>
      <c r="D64" s="73"/>
      <c r="E64" s="3"/>
      <c r="F64" s="3"/>
      <c r="G64" s="10"/>
      <c r="K64" s="68"/>
      <c r="L64" s="68"/>
    </row>
    <row r="65" spans="1:12" ht="15" customHeight="1" x14ac:dyDescent="0.45">
      <c r="A65" s="8"/>
      <c r="D65" s="3"/>
      <c r="E65" s="3"/>
      <c r="F65" s="3"/>
      <c r="G65" s="10"/>
      <c r="K65" s="68"/>
      <c r="L65" s="68"/>
    </row>
    <row r="66" spans="1:12" ht="15" customHeight="1" x14ac:dyDescent="0.45">
      <c r="A66" s="8"/>
      <c r="E66" s="3"/>
      <c r="F66" s="3"/>
      <c r="G66" s="10"/>
      <c r="K66" s="68"/>
      <c r="L66" s="68"/>
    </row>
    <row r="67" spans="1:12" x14ac:dyDescent="0.45">
      <c r="A67" s="8"/>
      <c r="E67" s="3"/>
      <c r="F67" s="3"/>
      <c r="G67" s="10"/>
    </row>
    <row r="68" spans="1:12" x14ac:dyDescent="0.45">
      <c r="A68" s="8"/>
      <c r="E68" s="3"/>
      <c r="F68" s="3"/>
      <c r="G68" s="10"/>
    </row>
    <row r="69" spans="1:12" ht="19.5" customHeight="1" x14ac:dyDescent="0.45">
      <c r="A69" s="8"/>
      <c r="E69" s="3"/>
      <c r="F69" s="3"/>
      <c r="G69" s="10"/>
    </row>
    <row r="70" spans="1:12" x14ac:dyDescent="0.45">
      <c r="A70" s="8"/>
      <c r="E70" s="3"/>
      <c r="F70" s="3"/>
      <c r="G70" s="10"/>
    </row>
    <row r="71" spans="1:12" ht="15" customHeight="1" x14ac:dyDescent="0.45">
      <c r="A71" s="8"/>
      <c r="E71" s="3"/>
      <c r="F71" s="3"/>
      <c r="G71" s="10"/>
    </row>
    <row r="72" spans="1:12" ht="15" customHeight="1" thickBot="1" x14ac:dyDescent="0.5">
      <c r="A72" s="74"/>
      <c r="B72" s="75"/>
      <c r="C72" s="75"/>
      <c r="D72" s="75"/>
      <c r="E72" s="76"/>
      <c r="F72" s="76"/>
      <c r="G72" s="77"/>
    </row>
    <row r="73" spans="1:12" x14ac:dyDescent="0.45">
      <c r="E73" s="3"/>
      <c r="F73" s="3"/>
    </row>
    <row r="74" spans="1:12" x14ac:dyDescent="0.45">
      <c r="E74" s="3"/>
      <c r="F74" s="3"/>
    </row>
    <row r="84" spans="1:5" ht="15.75" x14ac:dyDescent="0.45">
      <c r="A84" s="53"/>
      <c r="B84" s="3"/>
      <c r="C84" s="53"/>
      <c r="D84" s="3"/>
    </row>
    <row r="85" spans="1:5" x14ac:dyDescent="0.45">
      <c r="A85" s="3"/>
      <c r="B85" s="78"/>
      <c r="C85" s="3"/>
      <c r="D85" s="3"/>
    </row>
    <row r="87" spans="1:5" x14ac:dyDescent="0.45">
      <c r="B87" s="24"/>
      <c r="D87" s="24"/>
    </row>
    <row r="88" spans="1:5" x14ac:dyDescent="0.45">
      <c r="B88" s="24"/>
      <c r="D88" s="24"/>
    </row>
    <row r="89" spans="1:5" x14ac:dyDescent="0.45">
      <c r="B89" s="24"/>
      <c r="D89" s="24"/>
    </row>
    <row r="90" spans="1:5" x14ac:dyDescent="0.45">
      <c r="B90" s="18"/>
      <c r="D90" s="18"/>
    </row>
    <row r="91" spans="1:5" ht="20.25" customHeight="1" x14ac:dyDescent="0.45">
      <c r="B91" s="24"/>
      <c r="D91" s="24"/>
    </row>
    <row r="92" spans="1:5" ht="19.5" customHeight="1" x14ac:dyDescent="0.45">
      <c r="B92" s="24"/>
      <c r="D92" s="24"/>
    </row>
    <row r="93" spans="1:5" x14ac:dyDescent="0.45">
      <c r="B93" s="24"/>
      <c r="D93" s="24"/>
    </row>
    <row r="95" spans="1:5" x14ac:dyDescent="0.45">
      <c r="E95" s="79"/>
    </row>
    <row r="96" spans="1:5" x14ac:dyDescent="0.45">
      <c r="A96" s="80"/>
      <c r="B96" s="80"/>
      <c r="C96" s="80"/>
      <c r="D96" s="80"/>
      <c r="E96" s="81"/>
    </row>
    <row r="97" spans="1:5" x14ac:dyDescent="0.45">
      <c r="E97" s="81"/>
    </row>
    <row r="98" spans="1:5" x14ac:dyDescent="0.45">
      <c r="E98" s="81"/>
    </row>
    <row r="99" spans="1:5" ht="18" customHeight="1" x14ac:dyDescent="0.45">
      <c r="E99" s="81"/>
    </row>
    <row r="100" spans="1:5" x14ac:dyDescent="0.45">
      <c r="E100" s="81"/>
    </row>
    <row r="101" spans="1:5" x14ac:dyDescent="0.45">
      <c r="E101" s="81"/>
    </row>
    <row r="102" spans="1:5" x14ac:dyDescent="0.45">
      <c r="E102" s="81"/>
    </row>
    <row r="103" spans="1:5" x14ac:dyDescent="0.45">
      <c r="E103" s="81"/>
    </row>
    <row r="104" spans="1:5" x14ac:dyDescent="0.45">
      <c r="E104" s="81"/>
    </row>
    <row r="105" spans="1:5" x14ac:dyDescent="0.45">
      <c r="E105" s="81"/>
    </row>
    <row r="106" spans="1:5" x14ac:dyDescent="0.45">
      <c r="E106" s="81"/>
    </row>
    <row r="107" spans="1:5" x14ac:dyDescent="0.45">
      <c r="E107" s="81"/>
    </row>
    <row r="108" spans="1:5" x14ac:dyDescent="0.45">
      <c r="E108" s="81"/>
    </row>
    <row r="109" spans="1:5" x14ac:dyDescent="0.45">
      <c r="E109" s="81"/>
    </row>
    <row r="110" spans="1:5" x14ac:dyDescent="0.45">
      <c r="E110" s="82"/>
    </row>
    <row r="111" spans="1:5" x14ac:dyDescent="0.45">
      <c r="A111" s="83"/>
      <c r="B111" s="83"/>
      <c r="C111" s="83"/>
      <c r="D111" s="83"/>
    </row>
    <row r="117" ht="15.75" customHeight="1" x14ac:dyDescent="0.45"/>
    <row r="118" ht="15.75" customHeight="1" x14ac:dyDescent="0.45"/>
    <row r="130" ht="87.75" customHeight="1" x14ac:dyDescent="0.45"/>
  </sheetData>
  <mergeCells count="41">
    <mergeCell ref="B59:D59"/>
    <mergeCell ref="B60:C61"/>
    <mergeCell ref="B62:C63"/>
    <mergeCell ref="J52:L52"/>
    <mergeCell ref="J53:L53"/>
    <mergeCell ref="E54:G54"/>
    <mergeCell ref="J54:L54"/>
    <mergeCell ref="J55:L55"/>
    <mergeCell ref="F57:G57"/>
    <mergeCell ref="J51:L51"/>
    <mergeCell ref="A32:C32"/>
    <mergeCell ref="A33:C33"/>
    <mergeCell ref="A34:C34"/>
    <mergeCell ref="A35:C35"/>
    <mergeCell ref="A36:C36"/>
    <mergeCell ref="A37:C37"/>
    <mergeCell ref="A38:C38"/>
    <mergeCell ref="A39:C39"/>
    <mergeCell ref="A40:C40"/>
    <mergeCell ref="E45:G45"/>
    <mergeCell ref="E50:G50"/>
    <mergeCell ref="A31:C31"/>
    <mergeCell ref="D15:G20"/>
    <mergeCell ref="A20:B20"/>
    <mergeCell ref="A21:B21"/>
    <mergeCell ref="B22:C22"/>
    <mergeCell ref="B23:C23"/>
    <mergeCell ref="A24:C25"/>
    <mergeCell ref="A26:C26"/>
    <mergeCell ref="A27:C27"/>
    <mergeCell ref="A28:C28"/>
    <mergeCell ref="A29:C29"/>
    <mergeCell ref="A30:C30"/>
    <mergeCell ref="A1:G1"/>
    <mergeCell ref="A2:C2"/>
    <mergeCell ref="F2:G2"/>
    <mergeCell ref="A10:C10"/>
    <mergeCell ref="A11:A12"/>
    <mergeCell ref="D11:D12"/>
    <mergeCell ref="E11:E12"/>
    <mergeCell ref="F11:F12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>
    <tabColor rgb="FF00B050"/>
  </sheetPr>
  <dimension ref="A1:R51"/>
  <sheetViews>
    <sheetView view="pageLayout" zoomScale="55" zoomScaleNormal="100" zoomScalePageLayoutView="55" workbookViewId="0">
      <selection activeCell="E32" sqref="E3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197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945*10^6</f>
        <v>945000000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530*10^6</f>
        <v>530000000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294*10^6</f>
        <v>294000000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111*10^6</f>
        <v>111000000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478*10^3</f>
        <v>478000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10100</v>
      </c>
      <c r="C10" s="98" t="s">
        <v>36</v>
      </c>
      <c r="E10" s="96" t="s">
        <v>139</v>
      </c>
      <c r="F10" s="99">
        <f>F7+F8</f>
        <v>405000000</v>
      </c>
      <c r="G10" s="97" t="s">
        <v>123</v>
      </c>
      <c r="J10" s="85" t="s">
        <v>140</v>
      </c>
      <c r="K10" s="85">
        <f>B8*B12</f>
        <v>360600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4.8449478268332591</v>
      </c>
      <c r="C15" s="110">
        <f>$F$6/($F$11*B8*B12^2)</f>
        <v>2.7172723261604523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1.3900547849721001E-2</v>
      </c>
      <c r="C16" s="114">
        <f>0.85*$B$5/$B$6*(1-SQRT(1-(2*C15/(0.85*$B$5))))</f>
        <v>7.3843483554959571E-3</v>
      </c>
      <c r="E16" s="96" t="s">
        <v>151</v>
      </c>
      <c r="F16" s="110">
        <f>B22*$B$6/(0.85*$B$5*$B$8)</f>
        <v>156.95643296758416</v>
      </c>
      <c r="G16" s="112">
        <f>C22*$B$6/(0.85*$B$5*$B$8)</f>
        <v>141.26078967082577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184.65462702068726</v>
      </c>
      <c r="G17" s="112">
        <f>G16/G15</f>
        <v>166.18916431861857</v>
      </c>
    </row>
    <row r="18" spans="1:18" ht="18" customHeight="1" x14ac:dyDescent="0.45">
      <c r="A18" s="94" t="s">
        <v>154</v>
      </c>
      <c r="B18" s="113">
        <f>MAX(B16:B17)</f>
        <v>1.3900547849721001E-2</v>
      </c>
      <c r="C18" s="114">
        <f>MAX(C16:C17)</f>
        <v>7.3843483554959571E-3</v>
      </c>
      <c r="E18" s="96" t="s">
        <v>155</v>
      </c>
      <c r="F18" s="115">
        <f>0.003*($B$12-F17)/F17</f>
        <v>6.7641744974958357E-3</v>
      </c>
      <c r="G18" s="116">
        <f>0.003*($B$12-G17)/G17</f>
        <v>7.8490827749953702E-3</v>
      </c>
    </row>
    <row r="19" spans="1:18" ht="18" customHeight="1" x14ac:dyDescent="0.45">
      <c r="A19" s="94" t="s">
        <v>156</v>
      </c>
      <c r="B19" s="110">
        <f>$K$10*B18</f>
        <v>5012.5375546093928</v>
      </c>
      <c r="C19" s="117">
        <f>$K$10*C18</f>
        <v>2662.796016991842</v>
      </c>
      <c r="E19" s="96" t="s">
        <v>157</v>
      </c>
      <c r="F19" s="118">
        <f>B22*$B$6*($B$12-F16/2)</f>
        <v>1254801275.9150326</v>
      </c>
      <c r="G19" s="119">
        <f>C22*$B$6*($B$12-G16/2)</f>
        <v>1146282567.4171908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1129321148.3235295</v>
      </c>
      <c r="G20" s="119">
        <f>$F$11*G19</f>
        <v>1031654310.6754718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9</v>
      </c>
      <c r="E21" s="96" t="s">
        <v>76</v>
      </c>
      <c r="F21" s="120">
        <f>F20/F5</f>
        <v>1.1950488342047931</v>
      </c>
      <c r="G21" s="121">
        <f>G20/F6</f>
        <v>1.9465175673122108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6157.5216010359945</v>
      </c>
      <c r="C22" s="123">
        <f>C20^2*PI()/4*C21</f>
        <v>5541.7694409323949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251823.66165136269</v>
      </c>
      <c r="C24" s="85" t="s">
        <v>136</v>
      </c>
      <c r="E24" s="96" t="s">
        <v>169</v>
      </c>
      <c r="F24" s="99">
        <f>F9</f>
        <v>478000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125911.83082568135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226176.33834863731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392.69908169872411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305.22005008813903</v>
      </c>
      <c r="C29" s="104" t="s">
        <v>36</v>
      </c>
      <c r="D29" s="104"/>
      <c r="E29" s="105" t="s">
        <v>178</v>
      </c>
      <c r="F29" s="128">
        <f>MIN(B29,F28)</f>
        <v>300.5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10854090050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105311959.31937066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230.56985051830264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8359424858.4627409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0.35820394326316551</v>
      </c>
      <c r="D38" s="118">
        <f>$B$34/F10</f>
        <v>0.26002952918363126</v>
      </c>
      <c r="E38" s="118">
        <f>B34/F8</f>
        <v>0.94875639026460057</v>
      </c>
      <c r="F38" s="118">
        <f>B34/(F7+0.5*F8)</f>
        <v>0.3013217720153667</v>
      </c>
      <c r="G38" s="119">
        <f>MAX($B$34,($F$7+0.5*$F$8))</f>
        <v>349500000</v>
      </c>
    </row>
    <row r="39" spans="1:7" ht="18" customHeight="1" x14ac:dyDescent="0.45">
      <c r="A39" s="189" t="s">
        <v>193</v>
      </c>
      <c r="B39" s="190"/>
      <c r="C39" s="118">
        <f>C38^3*$B$32+(1-C38^3)*$B$36</f>
        <v>8474082592.4983664</v>
      </c>
      <c r="D39" s="118">
        <f>D38^3*$B$32+(1-D38^3)*$B$36</f>
        <v>8403286034.914485</v>
      </c>
      <c r="E39" s="118">
        <f>$B$32*($B$34/E38)^3+(1-($B$34/E38)^3)*$B$36</f>
        <v>3.4117814505672933E+33</v>
      </c>
      <c r="F39" s="118">
        <f>$B$32*($B$34/F38)^3+(1-($B$34/F38)^3)*$B$36</f>
        <v>1.0650102989599464E+35</v>
      </c>
      <c r="G39" s="119">
        <f>$B$32*($B$34/G38)^3+(1-($B$34/G38)^3)*$B$36</f>
        <v>8427675039.1717911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14.320812779657613</v>
      </c>
      <c r="D40" s="110">
        <f>(5/48)*$F$10*$B$10^2/($F$31*$C$39)</f>
        <v>19.727650257691611</v>
      </c>
      <c r="E40" s="110">
        <f>D40-C40</f>
        <v>5.4068374780339976</v>
      </c>
      <c r="F40" s="110">
        <f>(5/48)*(F7+0.5*F8)*$B$10^2/($F$31*$C$39)</f>
        <v>17.024231518674611</v>
      </c>
      <c r="G40" s="112">
        <f>F40-C40</f>
        <v>2.7034187390169979</v>
      </c>
    </row>
    <row r="41" spans="1:7" ht="18" customHeight="1" x14ac:dyDescent="0.45">
      <c r="A41" s="94" t="s">
        <v>195</v>
      </c>
      <c r="B41" s="110">
        <f>E40+(C40*F34)+(G40*F35)</f>
        <v>38.914616767579815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42.083333333333336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1"/>
  <dimension ref="A1:R51"/>
  <sheetViews>
    <sheetView view="pageLayout" topLeftCell="B16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197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870*10^6</f>
        <v>870000000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497*10^6</f>
        <v>497000000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257*10^6</f>
        <v>257000000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126*10^6</f>
        <v>126000000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496*10^3</f>
        <v>496000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99">
        <f>F7+F8</f>
        <v>383000000</v>
      </c>
      <c r="G10" s="97" t="s">
        <v>123</v>
      </c>
      <c r="J10" s="85" t="s">
        <v>140</v>
      </c>
      <c r="K10" s="85">
        <f>B8*B12</f>
        <v>360600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4.4604281580369687</v>
      </c>
      <c r="C15" s="110">
        <f>$F$6/($F$11*B8*B12^2)</f>
        <v>2.5480836718900846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1.2663264355766255E-2</v>
      </c>
      <c r="C16" s="114">
        <f>0.85*$B$5/$B$6*(1-SQRT(1-(2*C15/(0.85*$B$5))))</f>
        <v>6.8973441286252768E-3</v>
      </c>
      <c r="E16" s="96" t="s">
        <v>151</v>
      </c>
      <c r="F16" s="110">
        <f>B22*$B$6/(0.85*$B$5*$B$8)</f>
        <v>125.56514637406733</v>
      </c>
      <c r="G16" s="112">
        <f>C22*$B$6/(0.85*$B$5*$B$8)</f>
        <v>125.56514637406733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147.72370161654979</v>
      </c>
      <c r="G17" s="112">
        <f>G16/G15</f>
        <v>147.72370161654979</v>
      </c>
    </row>
    <row r="18" spans="1:18" ht="18" customHeight="1" x14ac:dyDescent="0.45">
      <c r="A18" s="94" t="s">
        <v>154</v>
      </c>
      <c r="B18" s="113">
        <f>MAX(B16:B17)</f>
        <v>1.2663264355766255E-2</v>
      </c>
      <c r="C18" s="114">
        <f>MAX(C16:C17)</f>
        <v>6.8973441286252768E-3</v>
      </c>
      <c r="E18" s="96" t="s">
        <v>155</v>
      </c>
      <c r="F18" s="115">
        <f>0.003*($B$12-F17)/F17</f>
        <v>9.2052181218697966E-3</v>
      </c>
      <c r="G18" s="116">
        <f>0.003*($B$12-G17)/G17</f>
        <v>9.2052181218697966E-3</v>
      </c>
    </row>
    <row r="19" spans="1:18" ht="18" customHeight="1" x14ac:dyDescent="0.45">
      <c r="A19" s="94" t="s">
        <v>156</v>
      </c>
      <c r="B19" s="110">
        <f>$K$10*B18</f>
        <v>4566.3731266893119</v>
      </c>
      <c r="C19" s="117">
        <f>$K$10*C18</f>
        <v>2487.182292782275</v>
      </c>
      <c r="E19" s="96" t="s">
        <v>157</v>
      </c>
      <c r="F19" s="118">
        <f>B22*$B$6*($B$12-F16/2)</f>
        <v>1033994654.676313</v>
      </c>
      <c r="G19" s="119">
        <f>C22*$B$6*($B$12-G16/2)</f>
        <v>1033994654.676313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930595189.2086817</v>
      </c>
      <c r="G20" s="119">
        <f>$F$11*G19</f>
        <v>930595189.2086817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8</v>
      </c>
      <c r="E21" s="96" t="s">
        <v>76</v>
      </c>
      <c r="F21" s="120">
        <f>F20/F5</f>
        <v>1.0696496427685998</v>
      </c>
      <c r="G21" s="121">
        <f>G20/F6</f>
        <v>1.8724249279852752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4926.0172808287953</v>
      </c>
      <c r="C22" s="123">
        <f>C20^2*PI()/4*C21</f>
        <v>4926.0172808287953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251823.66165136269</v>
      </c>
      <c r="C24" s="85" t="s">
        <v>136</v>
      </c>
      <c r="E24" s="96" t="s">
        <v>169</v>
      </c>
      <c r="F24" s="99">
        <f>F9</f>
        <v>496000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125911.83082568135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244176.33834863731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3*B27^2*PI()/4</f>
        <v>235.61944901923448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169.63204654405831</v>
      </c>
      <c r="C29" s="104" t="s">
        <v>36</v>
      </c>
      <c r="D29" s="104"/>
      <c r="E29" s="105" t="s">
        <v>178</v>
      </c>
      <c r="F29" s="128">
        <f>MIN(B29,F28)</f>
        <v>169.63204654405831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10854090050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105311959.31937066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220.35903278397339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7685004361.9557066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0.40977416077576129</v>
      </c>
      <c r="D38" s="118">
        <f>$B$34/F10</f>
        <v>0.27496595122551087</v>
      </c>
      <c r="E38" s="118">
        <f>B34/F8</f>
        <v>0.8358092009473862</v>
      </c>
      <c r="F38" s="118">
        <f>B34/(F7+0.5*F8)</f>
        <v>0.32909987287303333</v>
      </c>
      <c r="G38" s="119">
        <f>MAX($B$34,($F$7+0.5*$F$8))</f>
        <v>320000000</v>
      </c>
    </row>
    <row r="39" spans="1:7" ht="18" customHeight="1" x14ac:dyDescent="0.45">
      <c r="A39" s="189" t="s">
        <v>193</v>
      </c>
      <c r="B39" s="190"/>
      <c r="C39" s="118">
        <f>C38^3*$B$32+(1-C38^3)*$B$36</f>
        <v>7903060185.981492</v>
      </c>
      <c r="D39" s="118">
        <f>D38^3*$B$32+(1-D38^3)*$B$36</f>
        <v>7750886963.302247</v>
      </c>
      <c r="E39" s="118">
        <f>$B$32*($B$34/E38)^3+(1-($B$34/E38)^3)*$B$36</f>
        <v>6.3393629523072923E+33</v>
      </c>
      <c r="F39" s="118">
        <f>$B$32*($B$34/F38)^3+(1-($B$34/F38)^3)*$B$36</f>
        <v>1.0384459982583542E+35</v>
      </c>
      <c r="G39" s="119">
        <f>$B$32*($B$34/G38)^3+(1-($B$34/G38)^3)*$B$36</f>
        <v>7797962396.1389742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10.658427478482016</v>
      </c>
      <c r="D40" s="110">
        <f>(5/48)*$F$10*$B$10^2/($F$31*$C$39)</f>
        <v>15.883960016570473</v>
      </c>
      <c r="E40" s="110">
        <f>D40-C40</f>
        <v>5.2255325380884567</v>
      </c>
      <c r="F40" s="110">
        <f>(5/48)*(F7+0.5*F8)*$B$10^2/($F$31*$C$39)</f>
        <v>13.271193747526244</v>
      </c>
      <c r="G40" s="112">
        <f>F40-C40</f>
        <v>2.6127662690442275</v>
      </c>
    </row>
    <row r="41" spans="1:7" ht="18" customHeight="1" x14ac:dyDescent="0.45">
      <c r="A41" s="94" t="s">
        <v>195</v>
      </c>
      <c r="B41" s="110">
        <f>E40+(C40*F34)+(G40*F35)</f>
        <v>31.245366779332098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2"/>
  <dimension ref="A1:R51"/>
  <sheetViews>
    <sheetView topLeftCell="A14" zoomScaleNormal="100" workbookViewId="0">
      <selection activeCell="B12" sqref="B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204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v>49000000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v>29000000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16*10^6</f>
        <v>16000000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200</v>
      </c>
      <c r="C8" s="98" t="s">
        <v>36</v>
      </c>
      <c r="E8" s="96" t="s">
        <v>132</v>
      </c>
      <c r="F8" s="95">
        <f>7*10^6</f>
        <v>7000000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400</v>
      </c>
      <c r="C9" s="98" t="s">
        <v>36</v>
      </c>
      <c r="E9" s="96" t="s">
        <v>135</v>
      </c>
      <c r="F9" s="95">
        <f>38*10^3</f>
        <v>38000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8000</v>
      </c>
      <c r="C10" s="98" t="s">
        <v>36</v>
      </c>
      <c r="E10" s="96" t="s">
        <v>139</v>
      </c>
      <c r="F10" s="99">
        <f>F7+F8</f>
        <v>23000000</v>
      </c>
      <c r="G10" s="97" t="s">
        <v>123</v>
      </c>
      <c r="J10" s="85" t="s">
        <v>140</v>
      </c>
      <c r="K10" s="85">
        <f>B8*B12</f>
        <v>68400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342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2.32740178364473</v>
      </c>
      <c r="C15" s="110">
        <f>$F$6/($F$11*B8*B12^2)</f>
        <v>1.3774418719530035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6.2681473035178471E-3</v>
      </c>
      <c r="C16" s="114">
        <f>0.85*$B$5/$B$6*(1-SQRT(1-(2*C15/(0.85*$B$5))))</f>
        <v>3.6328235849484966E-3</v>
      </c>
      <c r="E16" s="96" t="s">
        <v>151</v>
      </c>
      <c r="F16" s="110">
        <f>B22*$B$6/(0.85*$B$5*$B$8)</f>
        <v>48.047887643138019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6.2681473035178471E-3</v>
      </c>
      <c r="C18" s="114">
        <f>MAX(C16:C17)</f>
        <v>3.6328235849484966E-3</v>
      </c>
      <c r="E18" s="96" t="s">
        <v>155</v>
      </c>
      <c r="F18" s="115">
        <f>0.003*($B$12-F17)/F17</f>
        <v>1.515064184459625E-2</v>
      </c>
      <c r="G18" s="116">
        <f>0.003*($B$12-G17)/G17</f>
        <v>1.515064184459625E-2</v>
      </c>
    </row>
    <row r="19" spans="1:18" ht="18" customHeight="1" x14ac:dyDescent="0.45">
      <c r="A19" s="94" t="s">
        <v>156</v>
      </c>
      <c r="B19" s="110">
        <f>$K$10*B18</f>
        <v>428.74127556062075</v>
      </c>
      <c r="C19" s="117">
        <f>$K$10*C18</f>
        <v>248.48513321047716</v>
      </c>
      <c r="E19" s="96" t="s">
        <v>157</v>
      </c>
      <c r="F19" s="118">
        <f>B22*$B$6*($B$12-F16/2)</f>
        <v>77918196.884393916</v>
      </c>
      <c r="G19" s="119">
        <f>C22*$B$6*($B$12-G16/2)</f>
        <v>77918196.884393916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70126377.195954531</v>
      </c>
      <c r="G20" s="119">
        <f>$F$11*G19</f>
        <v>70126377.195954531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2</v>
      </c>
      <c r="C21" s="95">
        <v>2</v>
      </c>
      <c r="E21" s="96" t="s">
        <v>76</v>
      </c>
      <c r="F21" s="120">
        <f>F20/F5</f>
        <v>1.4311505550194803</v>
      </c>
      <c r="G21" s="121">
        <f>G20/F6</f>
        <v>2.4181509377915358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628.31853071795865</v>
      </c>
      <c r="C22" s="123">
        <f>C20^2*PI()/4*C21</f>
        <v>628.31853071795865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47766.884240025538</v>
      </c>
      <c r="C24" s="85" t="s">
        <v>136</v>
      </c>
      <c r="E24" s="96" t="s">
        <v>169</v>
      </c>
      <c r="F24" s="99">
        <f>F9</f>
        <v>38000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23883.442120012769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171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171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666694799.99999988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200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11320077.20887325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107.08548648118418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351248990.0352459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0.70750482555457805</v>
      </c>
      <c r="D38" s="118">
        <f>$B$34/F10</f>
        <v>0.49217726995101085</v>
      </c>
      <c r="E38" s="118">
        <f>B34/F8</f>
        <v>1.6171538869818929</v>
      </c>
      <c r="F38" s="118">
        <f>B34/(F7+0.5*F8)</f>
        <v>0.58051677994221795</v>
      </c>
      <c r="G38" s="119">
        <f>MAX($B$34,($F$7+0.5*$F$8))</f>
        <v>19500000</v>
      </c>
    </row>
    <row r="39" spans="1:7" ht="18" customHeight="1" x14ac:dyDescent="0.45">
      <c r="A39" s="189" t="s">
        <v>193</v>
      </c>
      <c r="B39" s="190"/>
      <c r="C39" s="118">
        <f>C38^3*$B$32+(1-C38^3)*$B$36</f>
        <v>462964373.88024336</v>
      </c>
      <c r="D39" s="118">
        <f>D38^3*$B$32+(1-D38^3)*$B$36</f>
        <v>388857785.3199594</v>
      </c>
      <c r="E39" s="118">
        <f>$B$32*($B$34/E38)^3+(1-($B$34/E38)^3)*$B$36</f>
        <v>1.0819791281791061E+29</v>
      </c>
      <c r="F39" s="118">
        <f>$B$32*($B$34/F38)^3+(1-($B$34/F38)^3)*$B$36</f>
        <v>2.3389912501624054E+30</v>
      </c>
      <c r="G39" s="119">
        <f>$B$32*($B$34/G38)^3+(1-($B$34/G38)^3)*$B$36</f>
        <v>412960915.3514663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8.9499923872334755</v>
      </c>
      <c r="D40" s="110">
        <f>(5/48)*$F$10*$B$10^2/($F$31*$C$39)</f>
        <v>12.865614056648122</v>
      </c>
      <c r="E40" s="110">
        <f>D40-C40</f>
        <v>3.9156216694146462</v>
      </c>
      <c r="F40" s="110">
        <f>(5/48)*(F7+0.5*F8)*$B$10^2/($F$31*$C$39)</f>
        <v>10.907803221940798</v>
      </c>
      <c r="G40" s="112">
        <f>F40-C40</f>
        <v>1.9578108347073222</v>
      </c>
    </row>
    <row r="41" spans="1:7" ht="18" customHeight="1" x14ac:dyDescent="0.45">
      <c r="A41" s="94" t="s">
        <v>195</v>
      </c>
      <c r="B41" s="110">
        <f>E40+(C40*F34)+(G40*F35)</f>
        <v>25.339665946354778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33.333333333333336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3"/>
  <dimension ref="A1:R51"/>
  <sheetViews>
    <sheetView view="pageLayout" topLeftCell="C19" zoomScaleNormal="100" workbookViewId="0">
      <selection activeCell="D10" sqref="D10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203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244*10^6</f>
        <v>244000000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173*10^6</f>
        <v>173000000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97*10^6</f>
        <v>97000000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250</v>
      </c>
      <c r="C8" s="98" t="s">
        <v>36</v>
      </c>
      <c r="E8" s="96" t="s">
        <v>132</v>
      </c>
      <c r="F8" s="95">
        <f>35*10^6</f>
        <v>35000000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v>143000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10000</v>
      </c>
      <c r="C10" s="98" t="s">
        <v>36</v>
      </c>
      <c r="E10" s="96" t="s">
        <v>139</v>
      </c>
      <c r="F10" s="99">
        <f>F7+F8</f>
        <v>132000000</v>
      </c>
      <c r="G10" s="97" t="s">
        <v>123</v>
      </c>
      <c r="J10" s="85" t="s">
        <v>140</v>
      </c>
      <c r="K10" s="85">
        <f>B8*B12</f>
        <v>160500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642</v>
      </c>
      <c r="C12" s="103" t="s">
        <v>36</v>
      </c>
      <c r="D12" s="140">
        <v>1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2.6310993789958474</v>
      </c>
      <c r="C15" s="110">
        <f>$F$6/($F$11*B8*B12^2)</f>
        <v>1.8654925924847607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7.1357934434300952E-3</v>
      </c>
      <c r="C16" s="114">
        <f>0.85*$B$5/$B$6*(1-SQRT(1-(2*C15/(0.85*$B$5))))</f>
        <v>4.9723848988644688E-3</v>
      </c>
      <c r="E16" s="96" t="s">
        <v>151</v>
      </c>
      <c r="F16" s="110">
        <f>B22*$B$6/(0.85*$B$5*$B$8)</f>
        <v>76.87662022902083</v>
      </c>
      <c r="G16" s="112">
        <f>C22*$B$6/(0.85*$B$5*$B$8)</f>
        <v>57.657465171765615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90.443082622377446</v>
      </c>
      <c r="G17" s="112">
        <f>G16/G15</f>
        <v>67.832311966783081</v>
      </c>
    </row>
    <row r="18" spans="1:18" ht="18" customHeight="1" x14ac:dyDescent="0.45">
      <c r="A18" s="94" t="s">
        <v>154</v>
      </c>
      <c r="B18" s="113">
        <f>MAX(B16:B17)</f>
        <v>7.1357934434300952E-3</v>
      </c>
      <c r="C18" s="114">
        <f>MAX(C16:C17)</f>
        <v>4.9723848988644688E-3</v>
      </c>
      <c r="E18" s="96" t="s">
        <v>155</v>
      </c>
      <c r="F18" s="115">
        <f>0.003*($B$12-F17)/F17</f>
        <v>1.8295160936094283E-2</v>
      </c>
      <c r="G18" s="116">
        <f>0.003*($B$12-G17)/G17</f>
        <v>2.5393547914792383E-2</v>
      </c>
    </row>
    <row r="19" spans="1:18" ht="18" customHeight="1" x14ac:dyDescent="0.45">
      <c r="A19" s="94" t="s">
        <v>156</v>
      </c>
      <c r="B19" s="110">
        <f>$K$10*B18</f>
        <v>1145.2948476705303</v>
      </c>
      <c r="C19" s="117">
        <f>$K$10*C18</f>
        <v>798.06777626774726</v>
      </c>
      <c r="E19" s="96" t="s">
        <v>157</v>
      </c>
      <c r="F19" s="118">
        <f>B22*$B$6*($B$12-F16/2)</f>
        <v>295798615.46546924</v>
      </c>
      <c r="G19" s="119">
        <f>C22*$B$6*($B$12-G16/2)</f>
        <v>225381118.84476238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266218753.91892233</v>
      </c>
      <c r="G20" s="119">
        <f>$F$11*G19</f>
        <v>202843006.96028614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4</v>
      </c>
      <c r="C21" s="95">
        <v>3</v>
      </c>
      <c r="E21" s="96" t="s">
        <v>76</v>
      </c>
      <c r="F21" s="120">
        <f>F20/F5</f>
        <v>1.0910604668808292</v>
      </c>
      <c r="G21" s="121">
        <f>G20/F6</f>
        <v>1.1725029304062782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1256.6370614359173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112084.57486146342</v>
      </c>
      <c r="C24" s="85" t="s">
        <v>136</v>
      </c>
      <c r="E24" s="96" t="s">
        <v>169</v>
      </c>
      <c r="F24" s="99">
        <f>F9</f>
        <v>143000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56042.287430731711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30915.425138536579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256.42680905822778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344.46380943207794</v>
      </c>
      <c r="C29" s="104" t="s">
        <v>36</v>
      </c>
      <c r="D29" s="104"/>
      <c r="E29" s="105" t="s">
        <v>178</v>
      </c>
      <c r="F29" s="128">
        <f>MIN(B29,F28)</f>
        <v>256.42680905822778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5512693500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53486985.176814444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166.83544720862622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2040195960.442318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0.55141221831767473</v>
      </c>
      <c r="D38" s="118">
        <f>$B$34/F10</f>
        <v>0.40520443315768517</v>
      </c>
      <c r="E38" s="118">
        <f>B34/F8</f>
        <v>1.5281995764804126</v>
      </c>
      <c r="F38" s="118">
        <f>B34/(F7+0.5*F8)</f>
        <v>0.46713524171890347</v>
      </c>
      <c r="G38" s="119">
        <f>MAX($B$34,($F$7+0.5*$F$8))</f>
        <v>114500000</v>
      </c>
    </row>
    <row r="39" spans="1:7" ht="18" customHeight="1" x14ac:dyDescent="0.45">
      <c r="A39" s="189" t="s">
        <v>193</v>
      </c>
      <c r="B39" s="190"/>
      <c r="C39" s="118">
        <f>C38^3*$B$32+(1-C38^3)*$B$36</f>
        <v>2622394486.9013948</v>
      </c>
      <c r="D39" s="118">
        <f>D38^3*$B$32+(1-D38^3)*$B$36</f>
        <v>2271223903.3262992</v>
      </c>
      <c r="E39" s="118">
        <f>$B$32*($B$34/E38)^3+(1-($B$34/E38)^3)*$B$36</f>
        <v>1.4888333200853562E+32</v>
      </c>
      <c r="F39" s="118">
        <f>$B$32*($B$34/F38)^3+(1-($B$34/F38)^3)*$B$36</f>
        <v>5.2126480943844081E+33</v>
      </c>
      <c r="G39" s="119">
        <f>$B$32*($B$34/G38)^3+(1-($B$34/G38)^3)*$B$36</f>
        <v>2394168722.505126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14.967318235160034</v>
      </c>
      <c r="D40" s="110">
        <f>(5/48)*$F$10*$B$10^2/($F$31*$C$39)</f>
        <v>20.367896979805405</v>
      </c>
      <c r="E40" s="110">
        <f>D40-C40</f>
        <v>5.4005787446453706</v>
      </c>
      <c r="F40" s="110">
        <f>(5/48)*(F7+0.5*F8)*$B$10^2/($F$31*$C$39)</f>
        <v>17.667607607482722</v>
      </c>
      <c r="G40" s="112">
        <f>F40-C40</f>
        <v>2.700289372322688</v>
      </c>
    </row>
    <row r="41" spans="1:7" ht="18" customHeight="1" x14ac:dyDescent="0.45">
      <c r="A41" s="94" t="s">
        <v>195</v>
      </c>
      <c r="B41" s="110">
        <f>E40+(C40*F34)+(G40*F35)</f>
        <v>40.195736085146279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41.666666666666664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4"/>
  <dimension ref="A1:Q130"/>
  <sheetViews>
    <sheetView zoomScale="85" zoomScaleNormal="85" workbookViewId="0">
      <selection activeCell="B12" sqref="B12"/>
    </sheetView>
  </sheetViews>
  <sheetFormatPr defaultColWidth="9.1328125" defaultRowHeight="14.25" x14ac:dyDescent="0.45"/>
  <cols>
    <col min="1" max="2" width="10" style="4" customWidth="1"/>
    <col min="3" max="3" width="10.86328125" style="4" customWidth="1"/>
    <col min="4" max="4" width="11.265625" style="4" customWidth="1"/>
    <col min="5" max="5" width="11.3984375" style="4" customWidth="1"/>
    <col min="6" max="6" width="12.73046875" style="4" customWidth="1"/>
    <col min="7" max="8" width="13.73046875" style="4" customWidth="1"/>
    <col min="9" max="12" width="15.73046875" style="3" customWidth="1"/>
    <col min="13" max="13" width="13.73046875" style="4" bestFit="1" customWidth="1"/>
    <col min="14" max="14" width="12.59765625" style="4" bestFit="1" customWidth="1"/>
    <col min="15" max="15" width="12.3984375" style="4" customWidth="1"/>
    <col min="16" max="16" width="13.73046875" style="4" customWidth="1"/>
    <col min="17" max="16384" width="9.1328125" style="4"/>
  </cols>
  <sheetData>
    <row r="1" spans="1:17" ht="19.5" customHeight="1" thickBot="1" x14ac:dyDescent="0.5">
      <c r="A1" s="144" t="s">
        <v>202</v>
      </c>
      <c r="B1" s="144"/>
      <c r="C1" s="144"/>
      <c r="D1" s="144"/>
      <c r="E1" s="144"/>
      <c r="F1" s="144"/>
      <c r="G1" s="144"/>
      <c r="H1" s="1"/>
      <c r="I1" s="2"/>
      <c r="J1" s="2"/>
    </row>
    <row r="2" spans="1:17" ht="15.75" x14ac:dyDescent="0.5">
      <c r="A2" s="145"/>
      <c r="B2" s="146"/>
      <c r="C2" s="147"/>
      <c r="D2" s="5"/>
      <c r="E2" s="6"/>
      <c r="F2" s="148"/>
      <c r="G2" s="149"/>
      <c r="I2" s="7"/>
      <c r="J2" s="7" t="str">
        <f>IF(K3&lt;2, "Two Way Slab", "One way Slab")</f>
        <v>Two Way Slab</v>
      </c>
      <c r="K2" s="7"/>
      <c r="L2" s="7"/>
      <c r="N2" s="4" t="s">
        <v>0</v>
      </c>
    </row>
    <row r="3" spans="1:17" ht="14.25" customHeight="1" x14ac:dyDescent="0.45">
      <c r="A3" s="8"/>
      <c r="B3" s="9" t="s">
        <v>1</v>
      </c>
      <c r="F3" s="9" t="s">
        <v>2</v>
      </c>
      <c r="G3" s="10"/>
      <c r="I3" s="7"/>
      <c r="J3" s="7" t="s">
        <v>3</v>
      </c>
      <c r="K3" s="7">
        <f>F5/F4</f>
        <v>1.4000000000000001</v>
      </c>
      <c r="L3" s="7"/>
    </row>
    <row r="4" spans="1:17" ht="14.25" customHeight="1" x14ac:dyDescent="0.45">
      <c r="A4" s="11" t="s">
        <v>4</v>
      </c>
      <c r="B4" s="12">
        <v>390</v>
      </c>
      <c r="C4" s="13" t="s">
        <v>5</v>
      </c>
      <c r="E4" s="14" t="s">
        <v>6</v>
      </c>
      <c r="F4" s="15">
        <v>7</v>
      </c>
      <c r="G4" s="10" t="s">
        <v>7</v>
      </c>
      <c r="I4" s="7"/>
      <c r="J4" s="7" t="s">
        <v>8</v>
      </c>
      <c r="K4" s="7"/>
      <c r="L4" s="7"/>
    </row>
    <row r="5" spans="1:17" ht="14.25" customHeight="1" x14ac:dyDescent="0.45">
      <c r="A5" s="11" t="s">
        <v>9</v>
      </c>
      <c r="B5" s="12">
        <v>200000</v>
      </c>
      <c r="C5" s="13" t="s">
        <v>5</v>
      </c>
      <c r="E5" s="14" t="s">
        <v>10</v>
      </c>
      <c r="F5" s="15">
        <v>9.8000000000000007</v>
      </c>
      <c r="G5" s="10" t="s">
        <v>7</v>
      </c>
      <c r="I5" s="7" t="s">
        <v>11</v>
      </c>
      <c r="J5" s="7" t="s">
        <v>12</v>
      </c>
      <c r="K5" s="16">
        <v>0.2</v>
      </c>
      <c r="L5" s="17" t="s">
        <v>7</v>
      </c>
    </row>
    <row r="6" spans="1:17" ht="14.25" customHeight="1" x14ac:dyDescent="0.45">
      <c r="A6" s="11" t="s">
        <v>13</v>
      </c>
      <c r="B6" s="12">
        <v>30</v>
      </c>
      <c r="C6" s="13" t="s">
        <v>5</v>
      </c>
      <c r="E6" s="14" t="s">
        <v>14</v>
      </c>
      <c r="F6" s="18">
        <f>K14/180</f>
        <v>0.18666666666666668</v>
      </c>
      <c r="G6" s="10" t="s">
        <v>7</v>
      </c>
      <c r="I6" s="7"/>
      <c r="J6" s="7" t="s">
        <v>15</v>
      </c>
      <c r="K6" s="16">
        <v>0.4</v>
      </c>
      <c r="L6" s="17" t="s">
        <v>7</v>
      </c>
    </row>
    <row r="7" spans="1:17" ht="17.25" customHeight="1" x14ac:dyDescent="0.45">
      <c r="A7" s="11" t="s">
        <v>16</v>
      </c>
      <c r="B7" s="12">
        <v>25</v>
      </c>
      <c r="C7" s="13" t="s">
        <v>17</v>
      </c>
      <c r="E7" s="14" t="s">
        <v>18</v>
      </c>
      <c r="F7" s="19">
        <v>0.2</v>
      </c>
      <c r="G7" s="10" t="s">
        <v>7</v>
      </c>
      <c r="I7" s="7" t="s">
        <v>19</v>
      </c>
      <c r="J7" s="7" t="s">
        <v>20</v>
      </c>
      <c r="K7" s="16">
        <v>0.2</v>
      </c>
      <c r="L7" s="17" t="s">
        <v>7</v>
      </c>
    </row>
    <row r="8" spans="1:17" ht="16.5" customHeight="1" x14ac:dyDescent="0.45">
      <c r="A8" s="8"/>
      <c r="B8" s="14"/>
      <c r="C8" s="13"/>
      <c r="D8" s="13"/>
      <c r="E8" s="14" t="s">
        <v>21</v>
      </c>
      <c r="F8" s="15">
        <v>1</v>
      </c>
      <c r="G8" s="10" t="s">
        <v>7</v>
      </c>
      <c r="I8" s="7"/>
      <c r="J8" s="7" t="s">
        <v>22</v>
      </c>
      <c r="K8" s="16">
        <v>0.4</v>
      </c>
      <c r="L8" s="17" t="s">
        <v>7</v>
      </c>
      <c r="N8" s="4" t="s">
        <v>23</v>
      </c>
    </row>
    <row r="9" spans="1:17" ht="16.5" customHeight="1" x14ac:dyDescent="0.45">
      <c r="A9" s="8"/>
      <c r="B9" s="14"/>
      <c r="C9" s="13"/>
      <c r="D9" s="13"/>
      <c r="E9" s="14" t="s">
        <v>24</v>
      </c>
      <c r="F9" s="15">
        <v>2.5000000000000001E-2</v>
      </c>
      <c r="G9" s="10" t="s">
        <v>7</v>
      </c>
      <c r="I9" s="7"/>
      <c r="J9" s="7" t="s">
        <v>25</v>
      </c>
      <c r="K9" s="20">
        <f>F4</f>
        <v>7</v>
      </c>
      <c r="L9" s="17" t="s">
        <v>7</v>
      </c>
      <c r="O9" s="3"/>
      <c r="P9" s="3"/>
      <c r="Q9" s="3"/>
    </row>
    <row r="10" spans="1:17" ht="14.25" customHeight="1" x14ac:dyDescent="0.45">
      <c r="A10" s="150" t="s">
        <v>26</v>
      </c>
      <c r="B10" s="151"/>
      <c r="C10" s="151"/>
      <c r="D10" s="15" t="s">
        <v>27</v>
      </c>
      <c r="E10" s="9"/>
      <c r="F10" s="15" t="s">
        <v>28</v>
      </c>
      <c r="G10" s="10"/>
      <c r="I10" s="7"/>
      <c r="J10" s="7" t="s">
        <v>29</v>
      </c>
      <c r="K10" s="20">
        <f>F5</f>
        <v>9.8000000000000007</v>
      </c>
      <c r="L10" s="17" t="s">
        <v>7</v>
      </c>
      <c r="O10" s="3"/>
      <c r="P10" s="3"/>
      <c r="Q10" s="3"/>
    </row>
    <row r="11" spans="1:17" ht="15" customHeight="1" x14ac:dyDescent="0.45">
      <c r="A11" s="152" t="s">
        <v>30</v>
      </c>
      <c r="B11" s="3">
        <f>40+0</f>
        <v>40</v>
      </c>
      <c r="C11" s="15"/>
      <c r="D11" s="153">
        <f>C11+C12</f>
        <v>0</v>
      </c>
      <c r="E11" s="154" t="s">
        <v>31</v>
      </c>
      <c r="F11" s="155"/>
      <c r="G11" s="10"/>
      <c r="I11" s="7"/>
      <c r="J11" s="7" t="s">
        <v>32</v>
      </c>
      <c r="K11" s="21">
        <f>F7</f>
        <v>0.2</v>
      </c>
      <c r="L11" s="17" t="s">
        <v>7</v>
      </c>
      <c r="O11" s="3"/>
      <c r="P11" s="3"/>
      <c r="Q11" s="3"/>
    </row>
    <row r="12" spans="1:17" ht="15" customHeight="1" x14ac:dyDescent="0.45">
      <c r="A12" s="152"/>
      <c r="B12" s="3">
        <f>B9-B11-$B$27-(B20/2)</f>
        <v>-40</v>
      </c>
      <c r="C12" s="3"/>
      <c r="D12" s="153"/>
      <c r="E12" s="154"/>
      <c r="F12" s="155"/>
      <c r="G12" s="10"/>
      <c r="I12" s="7"/>
      <c r="J12" s="7" t="s">
        <v>33</v>
      </c>
      <c r="K12" s="20">
        <f>F9</f>
        <v>2.5000000000000001E-2</v>
      </c>
      <c r="L12" s="17" t="s">
        <v>7</v>
      </c>
      <c r="O12" s="3"/>
      <c r="P12" s="3"/>
      <c r="Q12" s="3"/>
    </row>
    <row r="13" spans="1:17" ht="20.25" customHeight="1" x14ac:dyDescent="0.45">
      <c r="A13" s="11" t="s">
        <v>34</v>
      </c>
      <c r="D13" s="15">
        <v>1.92</v>
      </c>
      <c r="E13" s="13" t="s">
        <v>31</v>
      </c>
      <c r="F13" s="15"/>
      <c r="G13" s="10"/>
      <c r="I13" s="7"/>
      <c r="J13" s="7" t="s">
        <v>35</v>
      </c>
      <c r="K13" s="16">
        <v>10</v>
      </c>
      <c r="L13" s="17" t="s">
        <v>36</v>
      </c>
      <c r="O13" s="3"/>
      <c r="P13" s="3"/>
      <c r="Q13" s="3"/>
    </row>
    <row r="14" spans="1:17" ht="15" customHeight="1" x14ac:dyDescent="0.45">
      <c r="A14" s="11" t="s">
        <v>37</v>
      </c>
      <c r="B14" s="3"/>
      <c r="C14" s="13" t="s">
        <v>31</v>
      </c>
      <c r="G14" s="10"/>
      <c r="I14" s="7"/>
      <c r="J14" s="7" t="s">
        <v>38</v>
      </c>
      <c r="K14" s="7">
        <f>(F4+F5)*2</f>
        <v>33.6</v>
      </c>
      <c r="L14" s="7"/>
      <c r="N14" s="4" t="s">
        <v>39</v>
      </c>
      <c r="P14" s="3"/>
      <c r="Q14" s="3"/>
    </row>
    <row r="15" spans="1:17" ht="15" customHeight="1" x14ac:dyDescent="0.45">
      <c r="A15" s="11"/>
      <c r="B15" s="3"/>
      <c r="C15" s="13"/>
      <c r="D15" s="153"/>
      <c r="E15" s="153"/>
      <c r="F15" s="153"/>
      <c r="G15" s="158"/>
      <c r="I15" s="7"/>
      <c r="J15" s="7" t="s">
        <v>40</v>
      </c>
      <c r="K15" s="22">
        <f>$K$9/30</f>
        <v>0.23333333333333334</v>
      </c>
      <c r="L15" s="7"/>
      <c r="Q15" s="3"/>
    </row>
    <row r="16" spans="1:17" ht="15" customHeight="1" x14ac:dyDescent="0.45">
      <c r="A16" s="11"/>
      <c r="B16" s="3"/>
      <c r="C16" s="13"/>
      <c r="D16" s="153"/>
      <c r="E16" s="153"/>
      <c r="F16" s="153"/>
      <c r="G16" s="158"/>
      <c r="I16" s="7"/>
      <c r="J16" s="7"/>
      <c r="K16" s="22">
        <f>$K$9/50</f>
        <v>0.14000000000000001</v>
      </c>
      <c r="L16" s="7"/>
      <c r="Q16" s="3"/>
    </row>
    <row r="17" spans="1:17" ht="15" customHeight="1" x14ac:dyDescent="0.45">
      <c r="A17" s="11"/>
      <c r="B17" s="3"/>
      <c r="C17" s="13"/>
      <c r="D17" s="153"/>
      <c r="E17" s="153"/>
      <c r="F17" s="153"/>
      <c r="G17" s="158"/>
      <c r="I17" s="7"/>
      <c r="J17" s="7" t="s">
        <v>41</v>
      </c>
      <c r="K17" s="7">
        <f>B22*B14*F4^2</f>
        <v>0</v>
      </c>
      <c r="L17" s="7"/>
    </row>
    <row r="18" spans="1:17" ht="15" customHeight="1" x14ac:dyDescent="0.45">
      <c r="A18" s="8"/>
      <c r="D18" s="153"/>
      <c r="E18" s="153"/>
      <c r="F18" s="153"/>
      <c r="G18" s="158"/>
      <c r="I18" s="7"/>
      <c r="J18" s="7" t="s">
        <v>42</v>
      </c>
      <c r="K18" s="7">
        <f>B23*B14*F5^2</f>
        <v>0</v>
      </c>
      <c r="L18" s="7"/>
    </row>
    <row r="19" spans="1:17" ht="14.25" customHeight="1" x14ac:dyDescent="0.45">
      <c r="A19" s="23" t="s">
        <v>43</v>
      </c>
      <c r="D19" s="153"/>
      <c r="E19" s="153"/>
      <c r="F19" s="153"/>
      <c r="G19" s="158"/>
      <c r="I19" s="7"/>
      <c r="J19" s="7" t="s">
        <v>44</v>
      </c>
      <c r="K19" s="7">
        <f>$F$11*E22*$D$11*F4^2+$F$13*$D$13*G22*F4^2</f>
        <v>0</v>
      </c>
      <c r="L19" s="7"/>
    </row>
    <row r="20" spans="1:17" ht="14.25" customHeight="1" x14ac:dyDescent="0.45">
      <c r="A20" s="159" t="s">
        <v>45</v>
      </c>
      <c r="B20" s="153"/>
      <c r="C20" s="24"/>
      <c r="D20" s="153"/>
      <c r="E20" s="153"/>
      <c r="F20" s="153"/>
      <c r="G20" s="158"/>
      <c r="I20" s="7"/>
      <c r="J20" s="7" t="s">
        <v>46</v>
      </c>
      <c r="K20" s="7">
        <f>$F$11*E23*$D$11*F5^2+$F$13*$D$13*G23*F5^2</f>
        <v>0</v>
      </c>
      <c r="L20" s="7"/>
    </row>
    <row r="21" spans="1:17" ht="16.5" customHeight="1" x14ac:dyDescent="0.45">
      <c r="A21" s="159" t="s">
        <v>47</v>
      </c>
      <c r="B21" s="153"/>
      <c r="C21" s="15"/>
      <c r="D21" s="3"/>
      <c r="G21" s="10"/>
      <c r="I21" s="7"/>
      <c r="J21" s="17" t="s">
        <v>48</v>
      </c>
      <c r="K21" s="7"/>
      <c r="L21" s="7"/>
    </row>
    <row r="22" spans="1:17" ht="16.5" customHeight="1" x14ac:dyDescent="0.45">
      <c r="A22" s="25" t="s">
        <v>49</v>
      </c>
      <c r="B22" s="160"/>
      <c r="C22" s="160"/>
      <c r="D22" s="3" t="s">
        <v>50</v>
      </c>
      <c r="E22" s="18"/>
      <c r="F22" s="3" t="s">
        <v>51</v>
      </c>
      <c r="G22" s="26"/>
      <c r="I22" s="7"/>
      <c r="J22" s="7" t="s">
        <v>52</v>
      </c>
      <c r="K22" s="7">
        <f>F4/F5</f>
        <v>0.71428571428571419</v>
      </c>
      <c r="L22" s="7"/>
    </row>
    <row r="23" spans="1:17" ht="18.75" customHeight="1" x14ac:dyDescent="0.45">
      <c r="A23" s="25" t="s">
        <v>53</v>
      </c>
      <c r="B23" s="160"/>
      <c r="C23" s="160"/>
      <c r="D23" s="3" t="s">
        <v>54</v>
      </c>
      <c r="E23" s="18"/>
      <c r="F23" s="3" t="s">
        <v>55</v>
      </c>
      <c r="G23" s="26"/>
      <c r="H23" s="27"/>
      <c r="I23" s="7"/>
      <c r="J23" s="7" t="s">
        <v>56</v>
      </c>
      <c r="K23" s="7">
        <f>$B$14/(1+K22^4)</f>
        <v>0</v>
      </c>
      <c r="L23" s="7" t="s">
        <v>31</v>
      </c>
    </row>
    <row r="24" spans="1:17" ht="18.75" customHeight="1" x14ac:dyDescent="0.45">
      <c r="A24" s="161" t="s">
        <v>57</v>
      </c>
      <c r="B24" s="162"/>
      <c r="C24" s="162"/>
      <c r="D24" s="3" t="s">
        <v>58</v>
      </c>
      <c r="E24" s="3" t="s">
        <v>59</v>
      </c>
      <c r="F24" s="3" t="s">
        <v>60</v>
      </c>
      <c r="G24" s="28" t="s">
        <v>61</v>
      </c>
      <c r="H24" s="29"/>
      <c r="I24" s="7"/>
      <c r="J24" s="7" t="s">
        <v>62</v>
      </c>
      <c r="K24" s="7">
        <f>$B$14*(K22^4/(1+K22^4))</f>
        <v>0</v>
      </c>
      <c r="L24" s="7" t="s">
        <v>31</v>
      </c>
    </row>
    <row r="25" spans="1:17" ht="18" customHeight="1" x14ac:dyDescent="0.45">
      <c r="A25" s="161"/>
      <c r="B25" s="162"/>
      <c r="C25" s="162"/>
      <c r="D25" s="24">
        <v>27</v>
      </c>
      <c r="E25" s="24">
        <v>45</v>
      </c>
      <c r="F25" s="24">
        <v>30</v>
      </c>
      <c r="G25" s="30">
        <v>54</v>
      </c>
      <c r="H25" s="29"/>
      <c r="I25" s="7"/>
      <c r="J25" s="7"/>
      <c r="K25" s="7">
        <f>B49*D39/1000</f>
        <v>5.8577741714506984E-2</v>
      </c>
      <c r="L25" s="7"/>
    </row>
    <row r="26" spans="1:17" ht="14.25" customHeight="1" x14ac:dyDescent="0.45">
      <c r="A26" s="159" t="s">
        <v>63</v>
      </c>
      <c r="B26" s="153"/>
      <c r="C26" s="153"/>
      <c r="D26" s="31">
        <f>$F$7-$K$12-($K$13/2/1000)</f>
        <v>0.17</v>
      </c>
      <c r="E26" s="31">
        <f>$F$7-$K$12-($K$13/2/1000)</f>
        <v>0.17</v>
      </c>
      <c r="F26" s="31">
        <f>$F$7-$K$12-($K$13/2/1000)-(K13/1000)</f>
        <v>0.16</v>
      </c>
      <c r="G26" s="32">
        <f>$F$7-$K$12-($K$13/2/1000)-(K13/1000)</f>
        <v>0.16</v>
      </c>
      <c r="H26" s="29"/>
    </row>
    <row r="27" spans="1:17" ht="18" customHeight="1" x14ac:dyDescent="0.45">
      <c r="A27" s="159" t="s">
        <v>64</v>
      </c>
      <c r="B27" s="153"/>
      <c r="C27" s="153"/>
      <c r="D27" s="27">
        <f>F8*D25</f>
        <v>27</v>
      </c>
      <c r="E27" s="27">
        <f>$F$8*E25</f>
        <v>45</v>
      </c>
      <c r="F27" s="27">
        <f>F25*$F$8</f>
        <v>30</v>
      </c>
      <c r="G27" s="33">
        <f>F8*$G$25</f>
        <v>54</v>
      </c>
      <c r="H27" s="29"/>
      <c r="I27" s="7"/>
      <c r="J27" s="34">
        <f>C20</f>
        <v>0</v>
      </c>
      <c r="K27" s="7">
        <v>0.9</v>
      </c>
      <c r="L27" s="7">
        <v>0.85</v>
      </c>
      <c r="N27" s="4">
        <f>2500*3+1500</f>
        <v>9000</v>
      </c>
    </row>
    <row r="28" spans="1:17" ht="12" customHeight="1" x14ac:dyDescent="0.45">
      <c r="A28" s="159" t="s">
        <v>65</v>
      </c>
      <c r="B28" s="153"/>
      <c r="C28" s="153"/>
      <c r="D28" s="27">
        <f>D27/0.9</f>
        <v>30</v>
      </c>
      <c r="E28" s="27">
        <f>E27/0.9</f>
        <v>50</v>
      </c>
      <c r="F28" s="27">
        <f>F27/0.9</f>
        <v>33.333333333333336</v>
      </c>
      <c r="G28" s="33">
        <f>G27/0.9</f>
        <v>60</v>
      </c>
      <c r="H28" s="29"/>
      <c r="I28" s="7" t="str">
        <f>A22</f>
        <v>Caneg=</v>
      </c>
      <c r="J28" s="7">
        <f>L28+(K28-L28)/(K27-L27)*(K27-J27)</f>
        <v>-2.9999999999999888E-2</v>
      </c>
      <c r="K28" s="35">
        <v>5.5E-2</v>
      </c>
      <c r="L28" s="35">
        <v>0.06</v>
      </c>
    </row>
    <row r="29" spans="1:17" x14ac:dyDescent="0.45">
      <c r="A29" s="159" t="s">
        <v>66</v>
      </c>
      <c r="B29" s="153"/>
      <c r="C29" s="153"/>
      <c r="D29" s="27">
        <f>D28/(F8*D26^2)/1000</f>
        <v>1.0380622837370239</v>
      </c>
      <c r="E29" s="27">
        <f>E28/($F$8*E26^2)/1000</f>
        <v>1.7301038062283733</v>
      </c>
      <c r="F29" s="27">
        <f>F28/($F$8*F26^2)/1000</f>
        <v>1.3020833333333333</v>
      </c>
      <c r="G29" s="33">
        <f>G28/($F$8*G26^2)/1000</f>
        <v>2.34375</v>
      </c>
      <c r="H29" s="29"/>
      <c r="I29" s="7" t="str">
        <f>A23</f>
        <v>Cbneg=</v>
      </c>
      <c r="J29" s="7">
        <f>L29+(K29-L29)/(K27-L27)*(K27-J27)</f>
        <v>0.13899999999999987</v>
      </c>
      <c r="K29" s="35">
        <v>3.6999999999999998E-2</v>
      </c>
      <c r="L29" s="35">
        <v>3.1E-2</v>
      </c>
    </row>
    <row r="30" spans="1:17" x14ac:dyDescent="0.45">
      <c r="A30" s="156" t="s">
        <v>67</v>
      </c>
      <c r="B30" s="157"/>
      <c r="C30" s="157"/>
      <c r="D30" s="36">
        <f>(0.85*$B$6/$B$4)*(1-SQRT(1-(2*D29/(0.85*$B$6))))</f>
        <v>2.7181992781976335E-3</v>
      </c>
      <c r="E30" s="36">
        <f>(0.85*$B$6/$B$4)*(1-SQRT(1-(2*E29/(0.85*$B$6))))</f>
        <v>4.5978221914518289E-3</v>
      </c>
      <c r="F30" s="36">
        <f>(0.85*$B$6/$B$4)*(1-SQRT(1-(2*F29/(0.85*$B$6))))</f>
        <v>3.428566934819311E-3</v>
      </c>
      <c r="G30" s="37">
        <f>(0.85*$B$6/$B$4)*(1-SQRT(1-(2*G29/(0.85*$B$6))))</f>
        <v>6.3145286407397328E-3</v>
      </c>
      <c r="H30" s="29"/>
    </row>
    <row r="31" spans="1:17" x14ac:dyDescent="0.45">
      <c r="A31" s="156" t="s">
        <v>68</v>
      </c>
      <c r="B31" s="157"/>
      <c r="C31" s="157"/>
      <c r="D31" s="31">
        <f>0.85</f>
        <v>0.85</v>
      </c>
      <c r="E31" s="31">
        <f>0.85</f>
        <v>0.85</v>
      </c>
      <c r="F31" s="31">
        <f>0.85</f>
        <v>0.85</v>
      </c>
      <c r="G31" s="32">
        <f>0.85</f>
        <v>0.85</v>
      </c>
      <c r="H31" s="29"/>
      <c r="I31" s="7"/>
      <c r="J31" s="34">
        <f>C20</f>
        <v>0</v>
      </c>
      <c r="K31" s="7">
        <v>0.9</v>
      </c>
      <c r="L31" s="7">
        <v>0.85</v>
      </c>
    </row>
    <row r="32" spans="1:17" ht="15.75" x14ac:dyDescent="0.45">
      <c r="A32" s="159" t="s">
        <v>69</v>
      </c>
      <c r="B32" s="153"/>
      <c r="C32" s="153"/>
      <c r="D32" s="27">
        <f>D30*F8*D26*10^4</f>
        <v>4.6209387729359772</v>
      </c>
      <c r="E32" s="27">
        <f>E30*F8*E26*10^4</f>
        <v>7.8162977254681101</v>
      </c>
      <c r="F32" s="27">
        <f>F30*$F$8*F26*10^4</f>
        <v>5.4857070957108975</v>
      </c>
      <c r="G32" s="33">
        <f>G30*$F$8*G26*10^4</f>
        <v>10.103245825183572</v>
      </c>
      <c r="H32" s="29"/>
      <c r="I32" s="7" t="str">
        <f>D22</f>
        <v>CaposDL=</v>
      </c>
      <c r="J32" s="7">
        <f>L32+(K32-L32)/(K31-L31)*(K31-J31)</f>
        <v>-1.2000000000000004E-2</v>
      </c>
      <c r="K32" s="35">
        <v>2.1999999999999999E-2</v>
      </c>
      <c r="L32" s="35">
        <v>2.4E-2</v>
      </c>
      <c r="N32" s="24">
        <v>35</v>
      </c>
      <c r="O32" s="24">
        <v>49</v>
      </c>
      <c r="P32" s="24">
        <v>32</v>
      </c>
      <c r="Q32" s="24">
        <v>51</v>
      </c>
    </row>
    <row r="33" spans="1:12" ht="15.75" x14ac:dyDescent="0.45">
      <c r="A33" s="159" t="s">
        <v>70</v>
      </c>
      <c r="B33" s="153"/>
      <c r="C33" s="153"/>
      <c r="D33" s="27">
        <f>0.0018*$B$4*F7*10^4/413.68</f>
        <v>3.3939276735641073</v>
      </c>
      <c r="E33" s="27">
        <f>0.0018*$B$4*F7*10^4/413.68</f>
        <v>3.3939276735641073</v>
      </c>
      <c r="F33" s="27">
        <f>0.0018*$B$4*F7*10^4/413.68</f>
        <v>3.3939276735641073</v>
      </c>
      <c r="G33" s="33">
        <f>0.0018*$B$4*F7*10^4/413.68</f>
        <v>3.3939276735641073</v>
      </c>
      <c r="I33" s="7" t="str">
        <f>D23</f>
        <v>CbposDL=</v>
      </c>
      <c r="J33" s="7">
        <f>L33+(K33-L33)/(K31-L31)*(K31-J31)</f>
        <v>4.7999999999999973E-2</v>
      </c>
      <c r="K33" s="35">
        <v>1.4E-2</v>
      </c>
      <c r="L33" s="35">
        <v>1.2E-2</v>
      </c>
    </row>
    <row r="34" spans="1:12" ht="15.75" x14ac:dyDescent="0.45">
      <c r="A34" s="159" t="s">
        <v>71</v>
      </c>
      <c r="B34" s="153"/>
      <c r="C34" s="153"/>
      <c r="D34" s="38">
        <f>MAX(D32:D33)</f>
        <v>4.6209387729359772</v>
      </c>
      <c r="E34" s="38">
        <f>MAX(E32:E33)</f>
        <v>7.8162977254681101</v>
      </c>
      <c r="F34" s="38">
        <f>MAX(F32:F33)</f>
        <v>5.4857070957108975</v>
      </c>
      <c r="G34" s="39">
        <f>MAX(G32:G33)</f>
        <v>10.103245825183572</v>
      </c>
      <c r="I34" s="27"/>
    </row>
    <row r="35" spans="1:12" x14ac:dyDescent="0.45">
      <c r="A35" s="163" t="s">
        <v>35</v>
      </c>
      <c r="B35" s="155"/>
      <c r="C35" s="155"/>
      <c r="D35" s="40">
        <v>12</v>
      </c>
      <c r="E35" s="40">
        <v>12</v>
      </c>
      <c r="F35" s="40">
        <v>12</v>
      </c>
      <c r="G35" s="41">
        <v>12</v>
      </c>
      <c r="I35" s="7"/>
      <c r="J35" s="34">
        <f>C20</f>
        <v>0</v>
      </c>
      <c r="K35" s="7">
        <v>0.9</v>
      </c>
      <c r="L35" s="7">
        <v>0.85</v>
      </c>
    </row>
    <row r="36" spans="1:12" x14ac:dyDescent="0.45">
      <c r="A36" s="159" t="s">
        <v>72</v>
      </c>
      <c r="B36" s="153"/>
      <c r="C36" s="153"/>
      <c r="D36" s="27">
        <f>(D35^2*PI()/4)*F8*1000/D34/100</f>
        <v>244.74969500055636</v>
      </c>
      <c r="E36" s="27">
        <f>(E35^2*PI()/4)*$F$8*1000/E34/100</f>
        <v>144.69425231938601</v>
      </c>
      <c r="F36" s="27">
        <f>(F35^2*PI()/4)*$F$8*1000/F34/100</f>
        <v>206.16728811069737</v>
      </c>
      <c r="G36" s="33">
        <f>(G35^2*PI()/4)*$F$8*1000/G34/100</f>
        <v>111.9415853936006</v>
      </c>
      <c r="I36" s="7" t="str">
        <f>F22</f>
        <v>CaposLL=</v>
      </c>
      <c r="J36" s="7">
        <f>L36+(K36-L36)/(K35-L35)*(K35-J35)</f>
        <v>-1.6999999999999876E-2</v>
      </c>
      <c r="K36" s="35">
        <v>3.4000000000000002E-2</v>
      </c>
      <c r="L36" s="35">
        <v>3.6999999999999998E-2</v>
      </c>
    </row>
    <row r="37" spans="1:12" x14ac:dyDescent="0.45">
      <c r="A37" s="159" t="s">
        <v>73</v>
      </c>
      <c r="B37" s="153"/>
      <c r="C37" s="153"/>
      <c r="D37" s="31">
        <f>MIN(2*$F$7*1000,450)</f>
        <v>400</v>
      </c>
      <c r="E37" s="31">
        <f>MIN(2*$F$7*1000,450)</f>
        <v>400</v>
      </c>
      <c r="F37" s="31">
        <f>MIN(2*$F$7*1000,450)</f>
        <v>400</v>
      </c>
      <c r="G37" s="32">
        <f>MIN(2*$F$7*1000,450)</f>
        <v>400</v>
      </c>
      <c r="I37" s="7" t="str">
        <f>F23</f>
        <v>CbposLL=</v>
      </c>
      <c r="J37" s="7">
        <f>L37+(K37-L37)/(K35-L35)*(K35-J35)</f>
        <v>7.299999999999994E-2</v>
      </c>
      <c r="K37" s="35">
        <v>2.1999999999999999E-2</v>
      </c>
      <c r="L37" s="35">
        <v>1.9E-2</v>
      </c>
    </row>
    <row r="38" spans="1:12" x14ac:dyDescent="0.45">
      <c r="A38" s="163" t="s">
        <v>74</v>
      </c>
      <c r="B38" s="155"/>
      <c r="C38" s="155"/>
      <c r="D38" s="42">
        <v>150</v>
      </c>
      <c r="E38" s="42">
        <v>100</v>
      </c>
      <c r="F38" s="42">
        <v>150</v>
      </c>
      <c r="G38" s="43">
        <v>100</v>
      </c>
    </row>
    <row r="39" spans="1:12" ht="15.75" x14ac:dyDescent="0.45">
      <c r="A39" s="164" t="s">
        <v>75</v>
      </c>
      <c r="B39" s="165"/>
      <c r="C39" s="165"/>
      <c r="D39" s="44">
        <f>F8*(D35^2*PI()/4)/D38*10</f>
        <v>7.5398223686155035</v>
      </c>
      <c r="E39" s="44">
        <f>F8*(E35^2*PI()/4)/E38*10</f>
        <v>11.309733552923255</v>
      </c>
      <c r="F39" s="44">
        <f>$F$8*(F35^2*PI()/4)/F38*10</f>
        <v>7.5398223686155035</v>
      </c>
      <c r="G39" s="45">
        <f>$F$8*(G35^2*PI()/4)/G38*10</f>
        <v>11.309733552923255</v>
      </c>
    </row>
    <row r="40" spans="1:12" ht="15" customHeight="1" thickBot="1" x14ac:dyDescent="0.5">
      <c r="A40" s="166" t="s">
        <v>76</v>
      </c>
      <c r="B40" s="167"/>
      <c r="C40" s="167"/>
      <c r="D40" s="46">
        <f>D39/D34</f>
        <v>1.6316646333370424</v>
      </c>
      <c r="E40" s="46">
        <f>E39/E34</f>
        <v>1.44694252319386</v>
      </c>
      <c r="F40" s="46">
        <f>F39/F34</f>
        <v>1.374448587404649</v>
      </c>
      <c r="G40" s="47">
        <f>G39/G34</f>
        <v>1.119415853936006</v>
      </c>
    </row>
    <row r="41" spans="1:12" x14ac:dyDescent="0.45">
      <c r="D41" s="48" t="str">
        <f>IF(D40&gt;1,"OK","NO")</f>
        <v>OK</v>
      </c>
      <c r="E41" s="48" t="str">
        <f t="shared" ref="E41:G41" si="0">IF(E40&gt;1,"OK","NO")</f>
        <v>OK</v>
      </c>
      <c r="F41" s="48" t="str">
        <f t="shared" si="0"/>
        <v>OK</v>
      </c>
      <c r="G41" s="48" t="str">
        <f t="shared" si="0"/>
        <v>OK</v>
      </c>
    </row>
    <row r="42" spans="1:12" ht="14.65" thickBot="1" x14ac:dyDescent="0.5"/>
    <row r="43" spans="1:12" ht="15.75" x14ac:dyDescent="0.45">
      <c r="A43" s="49" t="s">
        <v>77</v>
      </c>
      <c r="B43" s="50"/>
      <c r="C43" s="50"/>
      <c r="D43" s="51"/>
      <c r="E43" s="50"/>
      <c r="F43" s="50"/>
      <c r="G43" s="52"/>
      <c r="H43" s="53"/>
    </row>
    <row r="44" spans="1:12" x14ac:dyDescent="0.45">
      <c r="A44" s="11" t="s">
        <v>78</v>
      </c>
      <c r="B44" s="3">
        <f>4700*SQRT($B$6)</f>
        <v>25742.960202742808</v>
      </c>
      <c r="C44" s="4" t="s">
        <v>5</v>
      </c>
      <c r="D44" s="9"/>
      <c r="E44" s="54" t="s">
        <v>79</v>
      </c>
      <c r="F44" s="54">
        <v>3</v>
      </c>
      <c r="G44" s="55"/>
      <c r="H44" s="3"/>
    </row>
    <row r="45" spans="1:12" ht="15.75" x14ac:dyDescent="0.45">
      <c r="A45" s="11" t="s">
        <v>80</v>
      </c>
      <c r="B45" s="56">
        <f>F8*F7^3/12</f>
        <v>6.6666666666666686E-4</v>
      </c>
      <c r="C45" s="4" t="s">
        <v>81</v>
      </c>
      <c r="D45" s="3"/>
      <c r="E45" s="168" t="s">
        <v>82</v>
      </c>
      <c r="F45" s="169"/>
      <c r="G45" s="170"/>
    </row>
    <row r="46" spans="1:12" x14ac:dyDescent="0.45">
      <c r="A46" s="11" t="s">
        <v>83</v>
      </c>
      <c r="B46" s="3">
        <f>0.63*SQRT($B$6)</f>
        <v>3.4506521122825466</v>
      </c>
      <c r="C46" s="4" t="s">
        <v>5</v>
      </c>
      <c r="D46" s="3"/>
      <c r="E46" s="57" t="s">
        <v>84</v>
      </c>
      <c r="F46" s="58">
        <f>1000*B53*F4^2*$F$8/(16*$B$44*$B$51*1000)</f>
        <v>5.1779129009784413</v>
      </c>
      <c r="G46" s="55" t="s">
        <v>36</v>
      </c>
    </row>
    <row r="47" spans="1:12" x14ac:dyDescent="0.45">
      <c r="A47" s="11" t="s">
        <v>85</v>
      </c>
      <c r="B47" s="3">
        <f>F7/2</f>
        <v>0.1</v>
      </c>
      <c r="C47" s="4" t="s">
        <v>7</v>
      </c>
      <c r="E47" s="59" t="s">
        <v>86</v>
      </c>
      <c r="F47" s="58">
        <f>1000*B54*F5^2*$F$8/(16*$B$44*$B$51*1000)</f>
        <v>5.2236003677517813</v>
      </c>
      <c r="G47" s="55" t="s">
        <v>36</v>
      </c>
    </row>
    <row r="48" spans="1:12" x14ac:dyDescent="0.45">
      <c r="A48" s="11" t="s">
        <v>87</v>
      </c>
      <c r="B48" s="24">
        <f>B46*B45*1000/B47</f>
        <v>23.004347415216984</v>
      </c>
      <c r="C48" s="4" t="s">
        <v>88</v>
      </c>
      <c r="D48" s="3"/>
      <c r="E48" s="59" t="s">
        <v>89</v>
      </c>
      <c r="F48" s="58">
        <f>(F46+F47)/2</f>
        <v>5.2007566343651117</v>
      </c>
      <c r="G48" s="55" t="s">
        <v>36</v>
      </c>
    </row>
    <row r="49" spans="1:15" x14ac:dyDescent="0.45">
      <c r="A49" s="11" t="s">
        <v>90</v>
      </c>
      <c r="B49" s="60">
        <f>B5/B44</f>
        <v>7.7691142908534196</v>
      </c>
      <c r="D49" s="3"/>
      <c r="E49" s="61" t="s">
        <v>91</v>
      </c>
      <c r="F49" s="58">
        <f>F48*F44/2</f>
        <v>7.8011349515476676</v>
      </c>
      <c r="G49" s="55" t="s">
        <v>36</v>
      </c>
    </row>
    <row r="50" spans="1:15" x14ac:dyDescent="0.45">
      <c r="A50" s="11" t="s">
        <v>92</v>
      </c>
      <c r="B50" s="18">
        <f>(-K25+SQRT(K25^2+2*K25*F8*E26))/F8</f>
        <v>9.422207506320994E-2</v>
      </c>
      <c r="C50" s="4" t="s">
        <v>7</v>
      </c>
      <c r="E50" s="168" t="s">
        <v>93</v>
      </c>
      <c r="F50" s="169"/>
      <c r="G50" s="170"/>
    </row>
    <row r="51" spans="1:15" ht="15.75" x14ac:dyDescent="0.45">
      <c r="A51" s="11" t="s">
        <v>94</v>
      </c>
      <c r="B51" s="56">
        <f>(F8*B50^3/3)+(B49*D39/10000*(E26-B50)^2)</f>
        <v>3.1246528900949564E-4</v>
      </c>
      <c r="C51" s="4" t="s">
        <v>81</v>
      </c>
      <c r="E51" s="62" t="s">
        <v>95</v>
      </c>
      <c r="F51" s="58">
        <f>1000*3*B55*F4^2*$F$8/(32*$B$44*$B$51*1000)</f>
        <v>3.9976533426671792</v>
      </c>
      <c r="G51" s="55" t="s">
        <v>36</v>
      </c>
      <c r="H51" s="63"/>
      <c r="J51" s="153"/>
      <c r="K51" s="153"/>
      <c r="L51" s="153"/>
      <c r="M51" s="3"/>
      <c r="N51" s="3"/>
      <c r="O51" s="3"/>
    </row>
    <row r="52" spans="1:15" ht="15.75" x14ac:dyDescent="0.45">
      <c r="A52" s="11" t="s">
        <v>96</v>
      </c>
      <c r="B52" s="56">
        <f>(B48/B53)^3*B45+(1-(B48/B53)^3)*B51</f>
        <v>2.0266723283880361E-3</v>
      </c>
      <c r="C52" s="4" t="s">
        <v>81</v>
      </c>
      <c r="E52" s="62" t="s">
        <v>97</v>
      </c>
      <c r="F52" s="58">
        <f>1000*3*B56*F5^2*$F$8/(32*$B$44*$B$51*1000)</f>
        <v>7.8354005516276732</v>
      </c>
      <c r="G52" s="55" t="s">
        <v>36</v>
      </c>
      <c r="J52" s="173"/>
      <c r="K52" s="173"/>
      <c r="L52" s="173"/>
      <c r="M52" s="3"/>
      <c r="N52" s="3"/>
      <c r="O52" s="3"/>
    </row>
    <row r="53" spans="1:15" ht="15.75" x14ac:dyDescent="0.45">
      <c r="A53" s="11" t="s">
        <v>98</v>
      </c>
      <c r="B53" s="24">
        <v>13.6</v>
      </c>
      <c r="C53" s="4" t="s">
        <v>88</v>
      </c>
      <c r="E53" s="62" t="s">
        <v>99</v>
      </c>
      <c r="F53" s="58">
        <f>(F51+F52)/2</f>
        <v>5.9165269471474264</v>
      </c>
      <c r="G53" s="64" t="s">
        <v>36</v>
      </c>
      <c r="J53" s="173"/>
      <c r="K53" s="173"/>
      <c r="L53" s="173"/>
      <c r="M53" s="3"/>
      <c r="N53" s="65"/>
      <c r="O53" s="65"/>
    </row>
    <row r="54" spans="1:15" ht="15.75" x14ac:dyDescent="0.45">
      <c r="A54" s="11" t="s">
        <v>100</v>
      </c>
      <c r="B54" s="24">
        <v>7</v>
      </c>
      <c r="C54" s="4" t="s">
        <v>88</v>
      </c>
      <c r="E54" s="168" t="s">
        <v>101</v>
      </c>
      <c r="F54" s="169"/>
      <c r="G54" s="170"/>
      <c r="J54" s="173"/>
      <c r="K54" s="173"/>
      <c r="L54" s="173"/>
      <c r="M54" s="3"/>
      <c r="N54" s="65"/>
      <c r="O54" s="65"/>
    </row>
    <row r="55" spans="1:15" ht="15.75" x14ac:dyDescent="0.45">
      <c r="A55" s="11" t="s">
        <v>102</v>
      </c>
      <c r="B55" s="24">
        <v>7</v>
      </c>
      <c r="C55" s="4" t="s">
        <v>88</v>
      </c>
      <c r="E55" s="62" t="s">
        <v>103</v>
      </c>
      <c r="F55" s="66">
        <f>F49+F53</f>
        <v>13.717661898695095</v>
      </c>
      <c r="G55" s="55" t="s">
        <v>36</v>
      </c>
      <c r="J55" s="173"/>
      <c r="K55" s="173"/>
      <c r="L55" s="173"/>
      <c r="M55" s="3"/>
      <c r="N55" s="65"/>
      <c r="O55" s="65"/>
    </row>
    <row r="56" spans="1:15" ht="15.75" x14ac:dyDescent="0.45">
      <c r="A56" s="11" t="s">
        <v>104</v>
      </c>
      <c r="B56" s="24">
        <v>7</v>
      </c>
      <c r="C56" s="4" t="s">
        <v>88</v>
      </c>
      <c r="E56" s="62" t="s">
        <v>105</v>
      </c>
      <c r="F56" s="137">
        <f>F4/240*1000</f>
        <v>29.166666666666668</v>
      </c>
      <c r="G56" s="67" t="s">
        <v>36</v>
      </c>
      <c r="K56" s="68"/>
      <c r="L56" s="68"/>
    </row>
    <row r="57" spans="1:15" ht="15" x14ac:dyDescent="0.45">
      <c r="A57" s="8"/>
      <c r="F57" s="174" t="str">
        <f>IF((F55/F56)&lt;1,"OK","NO")</f>
        <v>OK</v>
      </c>
      <c r="G57" s="175"/>
      <c r="K57" s="68"/>
      <c r="L57" s="68"/>
    </row>
    <row r="58" spans="1:15" ht="15" x14ac:dyDescent="0.45">
      <c r="A58" s="8"/>
      <c r="G58" s="10"/>
      <c r="K58" s="68"/>
      <c r="L58" s="68"/>
    </row>
    <row r="59" spans="1:15" ht="15" x14ac:dyDescent="0.45">
      <c r="A59" s="8"/>
      <c r="B59" s="168" t="s">
        <v>106</v>
      </c>
      <c r="C59" s="169"/>
      <c r="D59" s="171"/>
      <c r="E59" s="62" t="s">
        <v>35</v>
      </c>
      <c r="F59" s="62" t="s">
        <v>107</v>
      </c>
      <c r="G59" s="10"/>
      <c r="K59" s="68"/>
      <c r="L59" s="69"/>
    </row>
    <row r="60" spans="1:15" ht="15" x14ac:dyDescent="0.45">
      <c r="A60" s="8"/>
      <c r="B60" s="172" t="s">
        <v>108</v>
      </c>
      <c r="C60" s="172"/>
      <c r="D60" s="62" t="s">
        <v>109</v>
      </c>
      <c r="E60" s="70">
        <f>K13</f>
        <v>10</v>
      </c>
      <c r="F60" s="71">
        <f>D38</f>
        <v>150</v>
      </c>
      <c r="G60" s="10"/>
      <c r="K60" s="68"/>
      <c r="L60" s="68"/>
    </row>
    <row r="61" spans="1:15" ht="16.5" customHeight="1" x14ac:dyDescent="0.45">
      <c r="A61" s="8"/>
      <c r="B61" s="172"/>
      <c r="C61" s="172"/>
      <c r="D61" s="62" t="s">
        <v>110</v>
      </c>
      <c r="E61" s="70">
        <f>E60</f>
        <v>10</v>
      </c>
      <c r="F61" s="71">
        <f>F38</f>
        <v>150</v>
      </c>
      <c r="G61" s="72"/>
      <c r="K61" s="68"/>
      <c r="L61" s="68"/>
    </row>
    <row r="62" spans="1:15" ht="16.5" customHeight="1" x14ac:dyDescent="0.45">
      <c r="A62" s="8"/>
      <c r="B62" s="172" t="s">
        <v>111</v>
      </c>
      <c r="C62" s="172"/>
      <c r="D62" s="62" t="s">
        <v>109</v>
      </c>
      <c r="E62" s="70">
        <f t="shared" ref="E62:E63" si="1">E61</f>
        <v>10</v>
      </c>
      <c r="F62" s="71">
        <f>E38</f>
        <v>100</v>
      </c>
      <c r="G62" s="10"/>
      <c r="K62" s="68"/>
      <c r="L62" s="68"/>
    </row>
    <row r="63" spans="1:15" ht="16.5" customHeight="1" x14ac:dyDescent="0.45">
      <c r="A63" s="8"/>
      <c r="B63" s="172"/>
      <c r="C63" s="172"/>
      <c r="D63" s="62" t="s">
        <v>110</v>
      </c>
      <c r="E63" s="70">
        <f t="shared" si="1"/>
        <v>10</v>
      </c>
      <c r="F63" s="71">
        <f>G38</f>
        <v>100</v>
      </c>
      <c r="G63" s="10"/>
      <c r="K63" s="68"/>
      <c r="L63" s="68"/>
    </row>
    <row r="64" spans="1:15" ht="16.5" customHeight="1" x14ac:dyDescent="0.45">
      <c r="A64" s="8"/>
      <c r="D64" s="73"/>
      <c r="E64" s="3"/>
      <c r="F64" s="3"/>
      <c r="G64" s="10"/>
      <c r="K64" s="68"/>
      <c r="L64" s="68"/>
    </row>
    <row r="65" spans="1:12" ht="15" customHeight="1" x14ac:dyDescent="0.45">
      <c r="A65" s="8"/>
      <c r="D65" s="3"/>
      <c r="E65" s="3"/>
      <c r="F65" s="3"/>
      <c r="G65" s="10"/>
      <c r="K65" s="68"/>
      <c r="L65" s="68"/>
    </row>
    <row r="66" spans="1:12" ht="15" customHeight="1" x14ac:dyDescent="0.45">
      <c r="A66" s="8"/>
      <c r="E66" s="3"/>
      <c r="F66" s="3"/>
      <c r="G66" s="10"/>
      <c r="K66" s="68"/>
      <c r="L66" s="68"/>
    </row>
    <row r="67" spans="1:12" x14ac:dyDescent="0.45">
      <c r="A67" s="8"/>
      <c r="E67" s="3"/>
      <c r="F67" s="3"/>
      <c r="G67" s="10"/>
    </row>
    <row r="68" spans="1:12" x14ac:dyDescent="0.45">
      <c r="A68" s="8"/>
      <c r="E68" s="3"/>
      <c r="F68" s="3"/>
      <c r="G68" s="10"/>
    </row>
    <row r="69" spans="1:12" ht="19.5" customHeight="1" x14ac:dyDescent="0.45">
      <c r="A69" s="8"/>
      <c r="E69" s="3"/>
      <c r="F69" s="3"/>
      <c r="G69" s="10"/>
    </row>
    <row r="70" spans="1:12" x14ac:dyDescent="0.45">
      <c r="A70" s="8"/>
      <c r="E70" s="3"/>
      <c r="F70" s="3"/>
      <c r="G70" s="10"/>
    </row>
    <row r="71" spans="1:12" ht="15" customHeight="1" x14ac:dyDescent="0.45">
      <c r="A71" s="8"/>
      <c r="E71" s="3"/>
      <c r="F71" s="3"/>
      <c r="G71" s="10"/>
    </row>
    <row r="72" spans="1:12" ht="15" customHeight="1" thickBot="1" x14ac:dyDescent="0.5">
      <c r="A72" s="74"/>
      <c r="B72" s="75"/>
      <c r="C72" s="75"/>
      <c r="D72" s="75"/>
      <c r="E72" s="76"/>
      <c r="F72" s="76"/>
      <c r="G72" s="77"/>
    </row>
    <row r="73" spans="1:12" x14ac:dyDescent="0.45">
      <c r="E73" s="3"/>
      <c r="F73" s="3"/>
    </row>
    <row r="74" spans="1:12" x14ac:dyDescent="0.45">
      <c r="E74" s="3"/>
      <c r="F74" s="3"/>
    </row>
    <row r="84" spans="1:5" ht="15.75" x14ac:dyDescent="0.45">
      <c r="A84" s="53"/>
      <c r="B84" s="3"/>
      <c r="C84" s="53"/>
      <c r="D84" s="3"/>
    </row>
    <row r="85" spans="1:5" x14ac:dyDescent="0.45">
      <c r="A85" s="3"/>
      <c r="B85" s="78"/>
      <c r="C85" s="3"/>
      <c r="D85" s="3"/>
    </row>
    <row r="87" spans="1:5" x14ac:dyDescent="0.45">
      <c r="B87" s="24"/>
      <c r="D87" s="24"/>
    </row>
    <row r="88" spans="1:5" x14ac:dyDescent="0.45">
      <c r="B88" s="24"/>
      <c r="D88" s="24"/>
    </row>
    <row r="89" spans="1:5" x14ac:dyDescent="0.45">
      <c r="B89" s="24"/>
      <c r="D89" s="24"/>
    </row>
    <row r="90" spans="1:5" x14ac:dyDescent="0.45">
      <c r="B90" s="18"/>
      <c r="D90" s="18"/>
    </row>
    <row r="91" spans="1:5" ht="20.25" customHeight="1" x14ac:dyDescent="0.45">
      <c r="B91" s="24"/>
      <c r="D91" s="24"/>
    </row>
    <row r="92" spans="1:5" ht="19.5" customHeight="1" x14ac:dyDescent="0.45">
      <c r="B92" s="24"/>
      <c r="D92" s="24"/>
    </row>
    <row r="93" spans="1:5" x14ac:dyDescent="0.45">
      <c r="B93" s="24"/>
      <c r="D93" s="24"/>
    </row>
    <row r="95" spans="1:5" x14ac:dyDescent="0.45">
      <c r="E95" s="79"/>
    </row>
    <row r="96" spans="1:5" x14ac:dyDescent="0.45">
      <c r="A96" s="80"/>
      <c r="B96" s="80"/>
      <c r="C96" s="80"/>
      <c r="D96" s="80"/>
      <c r="E96" s="81"/>
    </row>
    <row r="97" spans="1:5" x14ac:dyDescent="0.45">
      <c r="E97" s="81"/>
    </row>
    <row r="98" spans="1:5" x14ac:dyDescent="0.45">
      <c r="E98" s="81"/>
    </row>
    <row r="99" spans="1:5" ht="18" customHeight="1" x14ac:dyDescent="0.45">
      <c r="E99" s="81"/>
    </row>
    <row r="100" spans="1:5" x14ac:dyDescent="0.45">
      <c r="E100" s="81"/>
    </row>
    <row r="101" spans="1:5" x14ac:dyDescent="0.45">
      <c r="E101" s="81"/>
    </row>
    <row r="102" spans="1:5" x14ac:dyDescent="0.45">
      <c r="E102" s="81"/>
    </row>
    <row r="103" spans="1:5" x14ac:dyDescent="0.45">
      <c r="E103" s="81"/>
    </row>
    <row r="104" spans="1:5" x14ac:dyDescent="0.45">
      <c r="E104" s="81"/>
    </row>
    <row r="105" spans="1:5" x14ac:dyDescent="0.45">
      <c r="E105" s="81"/>
    </row>
    <row r="106" spans="1:5" x14ac:dyDescent="0.45">
      <c r="E106" s="81"/>
    </row>
    <row r="107" spans="1:5" x14ac:dyDescent="0.45">
      <c r="E107" s="81"/>
    </row>
    <row r="108" spans="1:5" x14ac:dyDescent="0.45">
      <c r="E108" s="81"/>
    </row>
    <row r="109" spans="1:5" x14ac:dyDescent="0.45">
      <c r="E109" s="81"/>
    </row>
    <row r="110" spans="1:5" x14ac:dyDescent="0.45">
      <c r="E110" s="82"/>
    </row>
    <row r="111" spans="1:5" x14ac:dyDescent="0.45">
      <c r="A111" s="83"/>
      <c r="B111" s="83"/>
      <c r="C111" s="83"/>
      <c r="D111" s="83"/>
    </row>
    <row r="117" ht="15.75" customHeight="1" x14ac:dyDescent="0.45"/>
    <row r="118" ht="15.75" customHeight="1" x14ac:dyDescent="0.45"/>
    <row r="130" ht="87.75" customHeight="1" x14ac:dyDescent="0.45"/>
  </sheetData>
  <mergeCells count="41">
    <mergeCell ref="B59:D59"/>
    <mergeCell ref="B60:C61"/>
    <mergeCell ref="B62:C63"/>
    <mergeCell ref="J52:L52"/>
    <mergeCell ref="J53:L53"/>
    <mergeCell ref="E54:G54"/>
    <mergeCell ref="J54:L54"/>
    <mergeCell ref="J55:L55"/>
    <mergeCell ref="F57:G57"/>
    <mergeCell ref="J51:L51"/>
    <mergeCell ref="A32:C32"/>
    <mergeCell ref="A33:C33"/>
    <mergeCell ref="A34:C34"/>
    <mergeCell ref="A35:C35"/>
    <mergeCell ref="A36:C36"/>
    <mergeCell ref="A37:C37"/>
    <mergeCell ref="A38:C38"/>
    <mergeCell ref="A39:C39"/>
    <mergeCell ref="A40:C40"/>
    <mergeCell ref="E45:G45"/>
    <mergeCell ref="E50:G50"/>
    <mergeCell ref="A31:C31"/>
    <mergeCell ref="D15:G20"/>
    <mergeCell ref="A20:B20"/>
    <mergeCell ref="A21:B21"/>
    <mergeCell ref="B22:C22"/>
    <mergeCell ref="B23:C23"/>
    <mergeCell ref="A24:C25"/>
    <mergeCell ref="A26:C26"/>
    <mergeCell ref="A27:C27"/>
    <mergeCell ref="A28:C28"/>
    <mergeCell ref="A29:C29"/>
    <mergeCell ref="A30:C30"/>
    <mergeCell ref="A1:G1"/>
    <mergeCell ref="A2:C2"/>
    <mergeCell ref="F2:G2"/>
    <mergeCell ref="A10:C10"/>
    <mergeCell ref="A11:A12"/>
    <mergeCell ref="D11:D12"/>
    <mergeCell ref="E11:E12"/>
    <mergeCell ref="F11:F12"/>
  </mergeCells>
  <printOptions horizontalCentered="1"/>
  <pageMargins left="0.25" right="0.25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5"/>
  <dimension ref="A1:R51"/>
  <sheetViews>
    <sheetView view="pageLayout" topLeftCell="B16" zoomScaleNormal="100" workbookViewId="0">
      <selection activeCell="I3" sqref="I3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205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43*10^6</f>
        <v>43000000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35*10^6</f>
        <v>35000000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v>20000000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200</v>
      </c>
      <c r="C8" s="98" t="s">
        <v>36</v>
      </c>
      <c r="E8" s="96" t="s">
        <v>132</v>
      </c>
      <c r="F8" s="95">
        <f>8*10^6</f>
        <v>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400</v>
      </c>
      <c r="C9" s="98" t="s">
        <v>36</v>
      </c>
      <c r="E9" s="96" t="s">
        <v>135</v>
      </c>
      <c r="F9" s="95">
        <f>41*10^3</f>
        <v>41000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6860</v>
      </c>
      <c r="C10" s="98" t="s">
        <v>36</v>
      </c>
      <c r="E10" s="96" t="s">
        <v>139</v>
      </c>
      <c r="F10" s="99">
        <f>F7+F8</f>
        <v>28000000</v>
      </c>
      <c r="G10" s="97" t="s">
        <v>123</v>
      </c>
      <c r="J10" s="85" t="s">
        <v>140</v>
      </c>
      <c r="K10" s="85">
        <f>B8*B12</f>
        <v>68400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342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2.0424138101372122</v>
      </c>
      <c r="C15" s="110">
        <f>$F$6/($F$11*B8*B12^2)</f>
        <v>1.6624298454605215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5.4653789408053025E-3</v>
      </c>
      <c r="C16" s="114">
        <f>0.85*$B$5/$B$6*(1-SQRT(1-(2*C15/(0.85*$B$5))))</f>
        <v>4.4114598746402426E-3</v>
      </c>
      <c r="E16" s="96" t="s">
        <v>151</v>
      </c>
      <c r="F16" s="110">
        <f>B22*$B$6/(0.85*$B$5*$B$8)</f>
        <v>48.047887643138019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5.4653789408053025E-3</v>
      </c>
      <c r="C18" s="114">
        <f>MAX(C16:C17)</f>
        <v>4.4114598746402426E-3</v>
      </c>
      <c r="E18" s="96" t="s">
        <v>155</v>
      </c>
      <c r="F18" s="115">
        <f>0.003*($B$12-F17)/F17</f>
        <v>1.515064184459625E-2</v>
      </c>
      <c r="G18" s="116">
        <f>0.003*($B$12-G17)/G17</f>
        <v>1.515064184459625E-2</v>
      </c>
    </row>
    <row r="19" spans="1:18" ht="18" customHeight="1" x14ac:dyDescent="0.45">
      <c r="A19" s="94" t="s">
        <v>156</v>
      </c>
      <c r="B19" s="110">
        <f>$K$10*B18</f>
        <v>373.83191955108271</v>
      </c>
      <c r="C19" s="117">
        <f>$K$10*C18</f>
        <v>301.74385542539261</v>
      </c>
      <c r="E19" s="96" t="s">
        <v>157</v>
      </c>
      <c r="F19" s="118">
        <f>B22*$B$6*($B$12-F16/2)</f>
        <v>77918196.884393916</v>
      </c>
      <c r="G19" s="119">
        <f>C22*$B$6*($B$12-G16/2)</f>
        <v>77918196.884393916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70126377.195954531</v>
      </c>
      <c r="G20" s="119">
        <f>$F$11*G19</f>
        <v>70126377.195954531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2</v>
      </c>
      <c r="C21" s="95">
        <v>2</v>
      </c>
      <c r="E21" s="96" t="s">
        <v>76</v>
      </c>
      <c r="F21" s="120">
        <f>F20/F5</f>
        <v>1.6308459813012681</v>
      </c>
      <c r="G21" s="121">
        <f>G20/F6</f>
        <v>2.0036107770272724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628.31853071795865</v>
      </c>
      <c r="C22" s="123">
        <f>C20^2*PI()/4*C21</f>
        <v>628.31853071795865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47766.884240025538</v>
      </c>
      <c r="C24" s="85" t="s">
        <v>136</v>
      </c>
      <c r="E24" s="96" t="s">
        <v>169</v>
      </c>
      <c r="F24" s="99">
        <f>F9</f>
        <v>41000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23883.442120012769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171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171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666694799.99999988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200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11320077.20887325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107.08548648118418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351248990.0352459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0.56600386044366247</v>
      </c>
      <c r="D38" s="118">
        <f>$B$34/F10</f>
        <v>0.40428847174547322</v>
      </c>
      <c r="E38" s="118">
        <f>B34/F8</f>
        <v>1.4150096511091561</v>
      </c>
      <c r="F38" s="118">
        <f>B34/(F7+0.5*F8)</f>
        <v>0.47166988370305207</v>
      </c>
      <c r="G38" s="119">
        <f>MAX($B$34,($F$7+0.5*$F$8))</f>
        <v>24000000</v>
      </c>
    </row>
    <row r="39" spans="1:7" ht="18" customHeight="1" x14ac:dyDescent="0.45">
      <c r="A39" s="189" t="s">
        <v>193</v>
      </c>
      <c r="B39" s="190"/>
      <c r="C39" s="118">
        <f>C38^3*$B$32+(1-C38^3)*$B$36</f>
        <v>408447266.56388456</v>
      </c>
      <c r="D39" s="118">
        <f>D38^3*$B$32+(1-D38^3)*$B$36</f>
        <v>372093842.99757779</v>
      </c>
      <c r="E39" s="118">
        <f>$B$32*($B$34/E38)^3+(1-($B$34/E38)^3)*$B$36</f>
        <v>1.6150825470195409E+29</v>
      </c>
      <c r="F39" s="118">
        <f>$B$32*($B$34/F38)^3+(1-($B$34/F38)^3)*$B$36</f>
        <v>4.3607228769527588E+30</v>
      </c>
      <c r="G39" s="119">
        <f>$B$32*($B$34/G38)^3+(1-($B$34/G38)^3)*$B$36</f>
        <v>384349844.50783777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9.3242200608293651</v>
      </c>
      <c r="D40" s="110">
        <f>(5/48)*$F$10*$B$10^2/($F$31*$C$39)</f>
        <v>13.053908085161112</v>
      </c>
      <c r="E40" s="110">
        <f>D40-C40</f>
        <v>3.7296880243317467</v>
      </c>
      <c r="F40" s="110">
        <f>(5/48)*(F7+0.5*F8)*$B$10^2/($F$31*$C$39)</f>
        <v>11.189064072995238</v>
      </c>
      <c r="G40" s="112">
        <f>F40-C40</f>
        <v>1.8648440121658734</v>
      </c>
    </row>
    <row r="41" spans="1:7" ht="18" customHeight="1" x14ac:dyDescent="0.45">
      <c r="A41" s="94" t="s">
        <v>195</v>
      </c>
      <c r="B41" s="110">
        <f>E40+(C40*F34)+(G40*F35)</f>
        <v>25.734847367889049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28.583333333333332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16"/>
  <dimension ref="A1:R51"/>
  <sheetViews>
    <sheetView view="pageLayout" topLeftCell="A16" zoomScaleNormal="100" workbookViewId="0">
      <selection activeCell="B27" sqref="B27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198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465*10^6</f>
        <v>465000000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270*10^6</f>
        <v>270000000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160*10^6</f>
        <v>160000000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55*10^6</f>
        <v>55000000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315*10^3</f>
        <v>315000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9300</v>
      </c>
      <c r="C10" s="98" t="s">
        <v>36</v>
      </c>
      <c r="E10" s="96" t="s">
        <v>139</v>
      </c>
      <c r="F10" s="99">
        <f>F7+F8</f>
        <v>215000000</v>
      </c>
      <c r="G10" s="97" t="s">
        <v>123</v>
      </c>
      <c r="J10" s="85" t="s">
        <v>140</v>
      </c>
      <c r="K10" s="85">
        <f>B8*B12</f>
        <v>256000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640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3.1534830729166665</v>
      </c>
      <c r="C15" s="110">
        <f>$F$6/($F$11*B8*B12^2)</f>
        <v>1.8310546875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8.6592505380959448E-3</v>
      </c>
      <c r="C16" s="114">
        <f>0.85*$B$5/$B$6*(1-SQRT(1-(2*C15/(0.85*$B$5))))</f>
        <v>4.8768901027393327E-3</v>
      </c>
      <c r="E16" s="96" t="s">
        <v>151</v>
      </c>
      <c r="F16" s="110">
        <f>B22*$B$6/(0.85*$B$5*$B$8)</f>
        <v>96.095775286276037</v>
      </c>
      <c r="G16" s="112">
        <f>C22*$B$6/(0.85*$B$5*$B$8)</f>
        <v>60.059859553922522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113.05385327797181</v>
      </c>
      <c r="G17" s="112">
        <f>G16/G15</f>
        <v>70.658658298732377</v>
      </c>
    </row>
    <row r="18" spans="1:18" ht="18" customHeight="1" x14ac:dyDescent="0.45">
      <c r="A18" s="94" t="s">
        <v>154</v>
      </c>
      <c r="B18" s="113">
        <f>MAX(B16:B17)</f>
        <v>8.6592505380959448E-3</v>
      </c>
      <c r="C18" s="114">
        <f>MAX(C16:C17)</f>
        <v>4.8768901027393327E-3</v>
      </c>
      <c r="E18" s="96" t="s">
        <v>155</v>
      </c>
      <c r="F18" s="115">
        <f>0.003*($B$12-F17)/F17</f>
        <v>1.3983056696698247E-2</v>
      </c>
      <c r="G18" s="116">
        <f>0.003*($B$12-G17)/G17</f>
        <v>2.4172890714717198E-2</v>
      </c>
    </row>
    <row r="19" spans="1:18" ht="18" customHeight="1" x14ac:dyDescent="0.45">
      <c r="A19" s="94" t="s">
        <v>156</v>
      </c>
      <c r="B19" s="110">
        <f>$K$10*B18</f>
        <v>2216.7681377525619</v>
      </c>
      <c r="C19" s="117">
        <f>$K$10*C18</f>
        <v>1248.4838663012692</v>
      </c>
      <c r="E19" s="96" t="s">
        <v>157</v>
      </c>
      <c r="F19" s="118">
        <f>B22*$B$6*($B$12-F16/2)</f>
        <v>580217791.1266706</v>
      </c>
      <c r="G19" s="119">
        <f>C22*$B$6*($B$12-G16/2)</f>
        <v>373674110.84685808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522196012.01400357</v>
      </c>
      <c r="G20" s="119">
        <f>$F$11*G19</f>
        <v>336306699.76217228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5</v>
      </c>
      <c r="E21" s="96" t="s">
        <v>76</v>
      </c>
      <c r="F21" s="120">
        <f>F20/F5</f>
        <v>1.1230021763742013</v>
      </c>
      <c r="G21" s="121">
        <f>G20/F6</f>
        <v>1.2455803694895269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2513.2741228718346</v>
      </c>
      <c r="C22" s="123">
        <f>C20^2*PI()/4*C21</f>
        <v>1570.7963267948967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178776.64276968624</v>
      </c>
      <c r="C24" s="85" t="s">
        <v>136</v>
      </c>
      <c r="E24" s="96" t="s">
        <v>169</v>
      </c>
      <c r="F24" s="99">
        <f>F9</f>
        <v>315000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89388.321384843119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136223.35723031376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3*B27^2*PI()/4</f>
        <v>235.61944901923448</v>
      </c>
      <c r="C28" s="85" t="s">
        <v>175</v>
      </c>
      <c r="E28" s="96" t="s">
        <v>176</v>
      </c>
      <c r="F28" s="111">
        <f>MIN((B28*B7/(B8*0.062*SQRT(B5))),(B28*B7/(0.345*B8)),B12/2,600)</f>
        <v>320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323.79146831498991</v>
      </c>
      <c r="C29" s="104" t="s">
        <v>36</v>
      </c>
      <c r="D29" s="104"/>
      <c r="E29" s="105" t="s">
        <v>178</v>
      </c>
      <c r="F29" s="128">
        <f>MIN(B29,F28)</f>
        <v>320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8738133333.3333321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84781859.91530785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169.4473587249019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3350838704.9603167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0.52988662447067403</v>
      </c>
      <c r="D38" s="118">
        <f>$B$34/F10</f>
        <v>0.39433423216422253</v>
      </c>
      <c r="E38" s="118">
        <f>B34/F8</f>
        <v>1.5414883620965063</v>
      </c>
      <c r="F38" s="118">
        <f>B34/(F7+0.5*F8)</f>
        <v>0.45216991954830854</v>
      </c>
      <c r="G38" s="119">
        <f>MAX($B$34,($F$7+0.5*$F$8))</f>
        <v>187500000</v>
      </c>
    </row>
    <row r="39" spans="1:7" ht="18" customHeight="1" x14ac:dyDescent="0.45">
      <c r="A39" s="189" t="s">
        <v>193</v>
      </c>
      <c r="B39" s="190"/>
      <c r="C39" s="118">
        <f>C38^3*$B$32+(1-C38^3)*$B$36</f>
        <v>4152368366.9203868</v>
      </c>
      <c r="D39" s="118">
        <f>D38^3*$B$32+(1-D38^3)*$B$36</f>
        <v>3681180988.8234682</v>
      </c>
      <c r="E39" s="118">
        <f>$B$32*($B$34/E38)^3+(1-($B$34/E38)^3)*$B$36</f>
        <v>8.9631114379556051E+32</v>
      </c>
      <c r="F39" s="118">
        <f>$B$32*($B$34/F38)^3+(1-($B$34/F38)^3)*$B$36</f>
        <v>3.5511951896013532E+34</v>
      </c>
      <c r="G39" s="119">
        <f>$B$32*($B$34/G38)^3+(1-($B$34/G38)^3)*$B$36</f>
        <v>3848891900.1125793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13.48528991247843</v>
      </c>
      <c r="D40" s="110">
        <f>(5/48)*$F$10*$B$10^2/($F$31*$C$39)</f>
        <v>18.120858319892893</v>
      </c>
      <c r="E40" s="110">
        <f>D40-C40</f>
        <v>4.6355684074144623</v>
      </c>
      <c r="F40" s="110">
        <f>(5/48)*(F7+0.5*F8)*$B$10^2/($F$31*$C$39)</f>
        <v>15.803074116185661</v>
      </c>
      <c r="G40" s="112">
        <f>F40-C40</f>
        <v>2.3177842037072303</v>
      </c>
    </row>
    <row r="41" spans="1:7" ht="18" customHeight="1" x14ac:dyDescent="0.45">
      <c r="A41" s="94" t="s">
        <v>195</v>
      </c>
      <c r="B41" s="110">
        <f>E40+(C40*F34)+(G40*F35)</f>
        <v>35.778159799044339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38.75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17"/>
  <dimension ref="A1:R51"/>
  <sheetViews>
    <sheetView view="pageLayout" topLeftCell="C16" zoomScaleNormal="100" workbookViewId="0">
      <selection activeCell="A12" sqref="A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198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265*10^6</f>
        <v>265000000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113*10^6</f>
        <v>113000000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63*10^6</f>
        <v>63000000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24*10^6</f>
        <v>24000000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216*10^3</f>
        <v>216000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9980</v>
      </c>
      <c r="C10" s="98" t="s">
        <v>36</v>
      </c>
      <c r="E10" s="96" t="s">
        <v>139</v>
      </c>
      <c r="F10" s="99">
        <f>F7+F8</f>
        <v>87000000</v>
      </c>
      <c r="G10" s="97" t="s">
        <v>123</v>
      </c>
      <c r="J10" s="85" t="s">
        <v>140</v>
      </c>
      <c r="K10" s="85">
        <f>B8*B12</f>
        <v>246800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1.9336285290909669</v>
      </c>
      <c r="C15" s="110">
        <f>$F$6/($F$11*B8*B12^2)</f>
        <v>0.82452839165011038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5.1617690305343668E-3</v>
      </c>
      <c r="C16" s="114">
        <f>0.85*$B$5/$B$6*(1-SQRT(1-(2*C15/(0.85*$B$5))))</f>
        <v>2.1495077067087056E-3</v>
      </c>
      <c r="E16" s="96" t="s">
        <v>151</v>
      </c>
      <c r="F16" s="110">
        <f>B22*$B$6/(0.85*$B$5*$B$8)</f>
        <v>60.059859553922522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70.658658298732377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5.1617690305343668E-3</v>
      </c>
      <c r="C18" s="114">
        <f>MAX(C16:C17)</f>
        <v>3.5897435897435893E-3</v>
      </c>
      <c r="E18" s="96" t="s">
        <v>155</v>
      </c>
      <c r="F18" s="115">
        <f>0.003*($B$12-F17)/F17</f>
        <v>2.3196364954657048E-2</v>
      </c>
      <c r="G18" s="116">
        <f>0.003*($B$12-G17)/G17</f>
        <v>4.0660608257761743E-2</v>
      </c>
    </row>
    <row r="19" spans="1:18" ht="18" customHeight="1" x14ac:dyDescent="0.45">
      <c r="A19" s="94" t="s">
        <v>156</v>
      </c>
      <c r="B19" s="110">
        <f>$K$10*B18</f>
        <v>1273.9245967358818</v>
      </c>
      <c r="C19" s="117">
        <f>$K$10*C18</f>
        <v>885.94871794871779</v>
      </c>
      <c r="E19" s="96" t="s">
        <v>157</v>
      </c>
      <c r="F19" s="118">
        <f>B22*$B$6*($B$12-F16/2)</f>
        <v>359584067.79550785</v>
      </c>
      <c r="G19" s="119">
        <f>C22*$B$6*($B$12-G16/2)</f>
        <v>220165637.23438025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323625661.01595706</v>
      </c>
      <c r="G20" s="119">
        <f>$F$11*G19</f>
        <v>198149073.51094222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5</v>
      </c>
      <c r="C21" s="95">
        <v>3</v>
      </c>
      <c r="E21" s="96" t="s">
        <v>76</v>
      </c>
      <c r="F21" s="120">
        <f>F20/F5</f>
        <v>1.2212289094941775</v>
      </c>
      <c r="G21" s="121">
        <f>G20/F6</f>
        <v>1.7535316239906391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1570.7963267948967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172351.85717015062</v>
      </c>
      <c r="C24" s="85" t="s">
        <v>136</v>
      </c>
      <c r="E24" s="96" t="s">
        <v>169</v>
      </c>
      <c r="F24" s="99">
        <f>F9</f>
        <v>216000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86175.928585075308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43648.142829849385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234.47858762411403</v>
      </c>
      <c r="C29" s="104" t="s">
        <v>36</v>
      </c>
      <c r="D29" s="104"/>
      <c r="E29" s="105" t="s">
        <v>178</v>
      </c>
      <c r="F29" s="128">
        <f>MIN(B29,F28)</f>
        <v>160.26675566139235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7829503766.666666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75965868.936757103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133.10163718278341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2028957740.7359614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1.205807443440589</v>
      </c>
      <c r="D38" s="118">
        <f>$B$34/F10</f>
        <v>0.87317090731904712</v>
      </c>
      <c r="E38" s="118">
        <f>B34/F8</f>
        <v>3.165244539031546</v>
      </c>
      <c r="F38" s="118">
        <f>B34/(F7+0.5*F8)</f>
        <v>1.0128782524900948</v>
      </c>
      <c r="G38" s="119">
        <f>MAX($B$34,($F$7+0.5*$F$8))</f>
        <v>75965868.936757103</v>
      </c>
    </row>
    <row r="39" spans="1:7" ht="18" customHeight="1" x14ac:dyDescent="0.45">
      <c r="A39" s="189" t="s">
        <v>193</v>
      </c>
      <c r="B39" s="190"/>
      <c r="C39" s="118">
        <f>C38^3*$B$32+(1-C38^3)*$B$36</f>
        <v>12198531684.807686</v>
      </c>
      <c r="D39" s="118">
        <f>D38^3*$B$32+(1-D38^3)*$B$36</f>
        <v>5890552078.1851482</v>
      </c>
      <c r="E39" s="118">
        <f>$B$32*($B$34/E38)^3+(1-($B$34/E38)^3)*$B$36</f>
        <v>8.0186748262466056E+31</v>
      </c>
      <c r="F39" s="118">
        <f>$B$32*($B$34/F38)^3+(1-($B$34/F38)^3)*$B$36</f>
        <v>2.4471053546895162E+33</v>
      </c>
      <c r="G39" s="119">
        <f>$B$32*($B$34/G38)^3+(1-($B$34/G38)^3)*$B$36</f>
        <v>7829503766.666666</v>
      </c>
    </row>
    <row r="40" spans="1:7" ht="18" customHeight="1" x14ac:dyDescent="0.45">
      <c r="A40" s="189" t="s">
        <v>194</v>
      </c>
      <c r="B40" s="190"/>
      <c r="C40" s="110">
        <f>(5/48)*$F$7*$B$10^2/($F$31*$C$39)</f>
        <v>2.0814421987395684</v>
      </c>
      <c r="D40" s="110">
        <f>(5/48)*$F$10*$B$10^2/($F$31*$C$39)</f>
        <v>2.8743725601641659</v>
      </c>
      <c r="E40" s="110">
        <f>D40-C40</f>
        <v>0.7929303614245975</v>
      </c>
      <c r="F40" s="110">
        <f>(5/48)*(F7+0.5*F8)*$B$10^2/($F$31*$C$39)</f>
        <v>2.4779073794518669</v>
      </c>
      <c r="G40" s="112">
        <f>F40-C40</f>
        <v>0.39646518071229853</v>
      </c>
    </row>
    <row r="41" spans="1:7" ht="18" customHeight="1" x14ac:dyDescent="0.45">
      <c r="A41" s="94" t="s">
        <v>195</v>
      </c>
      <c r="B41" s="110">
        <f>E40+(C40*F34)+(G40*F35)</f>
        <v>5.6694520841858722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41.583333333333336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18"/>
  <dimension ref="A1:R51"/>
  <sheetViews>
    <sheetView topLeftCell="A19" zoomScale="70" zoomScaleNormal="70" zoomScalePageLayoutView="55" workbookViewId="0">
      <selection activeCell="B6" sqref="B6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35</v>
      </c>
      <c r="C5" s="90" t="s">
        <v>5</v>
      </c>
      <c r="D5" s="90"/>
      <c r="E5" s="91" t="s">
        <v>122</v>
      </c>
      <c r="F5" s="89">
        <f>342*10^6</f>
        <v>342000000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170*10^6</f>
        <v>170000000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97*10^6</f>
        <v>97000000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200</v>
      </c>
      <c r="C8" s="98" t="s">
        <v>36</v>
      </c>
      <c r="E8" s="96" t="s">
        <v>132</v>
      </c>
      <c r="F8" s="95">
        <f>39*10^6</f>
        <v>39000000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200</v>
      </c>
      <c r="C9" s="98" t="s">
        <v>36</v>
      </c>
      <c r="E9" s="96" t="s">
        <v>135</v>
      </c>
      <c r="F9" s="95">
        <f>261*10^3</f>
        <v>261000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2000</v>
      </c>
      <c r="C10" s="98" t="s">
        <v>36</v>
      </c>
      <c r="E10" s="96" t="s">
        <v>139</v>
      </c>
      <c r="F10" s="99">
        <f>F7+F8</f>
        <v>136000000</v>
      </c>
      <c r="G10" s="97" t="s">
        <v>123</v>
      </c>
      <c r="J10" s="85" t="s">
        <v>140</v>
      </c>
      <c r="K10" s="85">
        <f>B8*B12</f>
        <v>26200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131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110.71615873200862</v>
      </c>
      <c r="C15" s="110">
        <f>$F$6/($F$11*B8*B12^2)</f>
        <v>55.034347907723586</v>
      </c>
      <c r="E15" s="96" t="s">
        <v>149</v>
      </c>
      <c r="F15" s="110">
        <f>IF($B$5&lt;30,0.85, IF((0.85-0.008*($B$5-30)&gt;=0.65),0.85-(0.008*($B$5-30)),0.65))</f>
        <v>0.80999999999999994</v>
      </c>
      <c r="G15" s="112">
        <f>IF($B$5&lt;30,0.85, IF((0.85-0.008*($B$5-30)&gt;=0.65),0.85-(0.008*($B$5-30)),0.65))</f>
        <v>0.80999999999999994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 t="e">
        <f>0.85*$B$5/$B$6*(1-SQRT(1-(2*B15/(0.85*$B$5))))</f>
        <v>#NUM!</v>
      </c>
      <c r="C16" s="114" t="e">
        <f>0.85*$B$5/$B$6*(1-SQRT(1-(2*C15/(0.85*$B$5))))</f>
        <v>#NUM!</v>
      </c>
      <c r="E16" s="96" t="s">
        <v>151</v>
      </c>
      <c r="F16" s="110">
        <f>B22*$B$6/(0.85*$B$5*$B$8)</f>
        <v>14.826205329882585</v>
      </c>
      <c r="G16" s="112">
        <f>C22*$B$6/(0.85*$B$5*$B$8)</f>
        <v>14.826205329882585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3.792358835320267E-3</v>
      </c>
      <c r="C17" s="114">
        <f>MAX((SQRT($B$5)/(4*$B$6)),(1.4/$B$6))</f>
        <v>3.792358835320267E-3</v>
      </c>
      <c r="E17" s="96" t="s">
        <v>153</v>
      </c>
      <c r="F17" s="110">
        <f>F16/F15</f>
        <v>18.303957197385909</v>
      </c>
      <c r="G17" s="112">
        <f>G16/G15</f>
        <v>18.303957197385909</v>
      </c>
    </row>
    <row r="18" spans="1:18" ht="18" customHeight="1" x14ac:dyDescent="0.45">
      <c r="A18" s="94" t="s">
        <v>154</v>
      </c>
      <c r="B18" s="113" t="e">
        <f>MAX(B16:B17)</f>
        <v>#NUM!</v>
      </c>
      <c r="C18" s="114" t="e">
        <f>MAX(C16:C17)</f>
        <v>#NUM!</v>
      </c>
      <c r="E18" s="96" t="s">
        <v>155</v>
      </c>
      <c r="F18" s="115">
        <f>0.003*($B$12-F17)/F17</f>
        <v>1.8470766991092315E-2</v>
      </c>
      <c r="G18" s="116">
        <f>0.003*($B$12-G17)/G17</f>
        <v>1.8470766991092315E-2</v>
      </c>
    </row>
    <row r="19" spans="1:18" ht="18" customHeight="1" x14ac:dyDescent="0.45">
      <c r="A19" s="94" t="s">
        <v>156</v>
      </c>
      <c r="B19" s="110" t="e">
        <f>$K$10*B18</f>
        <v>#NUM!</v>
      </c>
      <c r="C19" s="117" t="e">
        <f>$K$10*C18</f>
        <v>#NUM!</v>
      </c>
      <c r="E19" s="96" t="s">
        <v>157</v>
      </c>
      <c r="F19" s="118">
        <f>B22*$B$6*($B$12-F16/2)</f>
        <v>10902332.060037561</v>
      </c>
      <c r="G19" s="119">
        <f>C22*$B$6*($B$12-G16/2)</f>
        <v>10902332.060037561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12</v>
      </c>
      <c r="C20" s="95">
        <v>12</v>
      </c>
      <c r="E20" s="96" t="s">
        <v>162</v>
      </c>
      <c r="F20" s="118">
        <f>$F$11*F19</f>
        <v>9812098.8540338054</v>
      </c>
      <c r="G20" s="119">
        <f>$F$11*G19</f>
        <v>9812098.8540338054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2</v>
      </c>
      <c r="C21" s="95">
        <v>2</v>
      </c>
      <c r="E21" s="96" t="s">
        <v>76</v>
      </c>
      <c r="F21" s="120">
        <f>F20/F5</f>
        <v>2.8690347526414636E-2</v>
      </c>
      <c r="G21" s="121">
        <f>G20/F6</f>
        <v>5.771822855314003E-2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226.1946710584651</v>
      </c>
      <c r="C22" s="123">
        <f>C20^2*PI()/4*C21</f>
        <v>226.1946710584651</v>
      </c>
      <c r="D22" s="104"/>
      <c r="E22" s="104"/>
      <c r="F22" s="124" t="str">
        <f>IF(F21&gt;1,"OK","NO")</f>
        <v>NO</v>
      </c>
      <c r="G22" s="125" t="str">
        <f>IF(G21&gt;1,"OK","NO")</f>
        <v>NO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19762.664515444267</v>
      </c>
      <c r="C24" s="85" t="s">
        <v>136</v>
      </c>
      <c r="E24" s="96" t="s">
        <v>169</v>
      </c>
      <c r="F24" s="99">
        <f>F9</f>
        <v>261000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9881.3322577221334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241237.33548455575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3*B27^2*PI()/4</f>
        <v>150.79644737231007</v>
      </c>
      <c r="C28" s="85" t="s">
        <v>175</v>
      </c>
      <c r="E28" s="96" t="s">
        <v>176</v>
      </c>
      <c r="F28" s="111">
        <f>MIN((B28*B7/(B8*0.062*SQRT(B5))),(B28*B7/(0.345*B8)),B12/2,600)</f>
        <v>65.5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13.511445910333215</v>
      </c>
      <c r="C29" s="104" t="s">
        <v>36</v>
      </c>
      <c r="D29" s="104"/>
      <c r="E29" s="105" t="s">
        <v>178</v>
      </c>
      <c r="F29" s="128">
        <f>MIN(B29,F28)</f>
        <v>13.511445910333215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27805.574980568195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37468183.333333328</v>
      </c>
      <c r="C32" s="85" t="s">
        <v>182</v>
      </c>
      <c r="E32" s="96" t="s">
        <v>83</v>
      </c>
      <c r="F32" s="110">
        <f>0.62*SQRT($B$5)</f>
        <v>3.6679694655217618</v>
      </c>
      <c r="G32" s="97"/>
    </row>
    <row r="33" spans="1:7" ht="18" customHeight="1" x14ac:dyDescent="0.45">
      <c r="A33" s="94" t="s">
        <v>85</v>
      </c>
      <c r="B33" s="110">
        <f>$B$9/2</f>
        <v>100</v>
      </c>
      <c r="C33" s="85" t="s">
        <v>36</v>
      </c>
      <c r="E33" s="96" t="s">
        <v>90</v>
      </c>
      <c r="F33" s="110">
        <f>B31/F31</f>
        <v>7.1928021679022685</v>
      </c>
      <c r="G33" s="97"/>
    </row>
    <row r="34" spans="1:7" ht="18" customHeight="1" x14ac:dyDescent="0.45">
      <c r="A34" s="94" t="s">
        <v>87</v>
      </c>
      <c r="B34" s="118">
        <f>F32*B32/B33</f>
        <v>1374321.5239523805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38.742753738962321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17724682.310100514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1.4168263133529696E-2</v>
      </c>
      <c r="D38" s="118">
        <f>$B$34/F10</f>
        <v>1.0105305323179268E-2</v>
      </c>
      <c r="E38" s="118">
        <f>B34/F8</f>
        <v>3.5239013434676426E-2</v>
      </c>
      <c r="F38" s="118">
        <f>B34/(F7+0.5*F8)</f>
        <v>1.1796751278561207E-2</v>
      </c>
      <c r="G38" s="119">
        <f>MAX($B$34,($F$7+0.5*$F$8))</f>
        <v>116500000</v>
      </c>
    </row>
    <row r="39" spans="1:7" ht="18" customHeight="1" x14ac:dyDescent="0.45">
      <c r="A39" s="189" t="s">
        <v>193</v>
      </c>
      <c r="B39" s="190"/>
      <c r="C39" s="118">
        <f>C38^3*$B$32+(1-C38^3)*$B$36</f>
        <v>17724738.463235624</v>
      </c>
      <c r="D39" s="118">
        <f>D38^3*$B$32+(1-D38^3)*$B$36</f>
        <v>17724702.683921516</v>
      </c>
      <c r="E39" s="118">
        <f>$B$32*($B$34/E38)^3+(1-($B$34/E38)^3)*$B$36</f>
        <v>1.1711647371971474E+30</v>
      </c>
      <c r="F39" s="118">
        <f>$B$32*($B$34/F38)^3+(1-($B$34/F38)^3)*$B$36</f>
        <v>3.1217774750339585E+31</v>
      </c>
      <c r="G39" s="119">
        <f>$B$32*($B$34/G38)^3+(1-($B$34/G38)^3)*$B$36</f>
        <v>17724714.722518828</v>
      </c>
    </row>
    <row r="40" spans="1:7" ht="18" customHeight="1" x14ac:dyDescent="0.45">
      <c r="A40" s="189" t="s">
        <v>194</v>
      </c>
      <c r="B40" s="190"/>
      <c r="C40" s="110">
        <f>(5/48)*$F$7*$B$10^2/($F$31*$C$39)</f>
        <v>82.006594405431613</v>
      </c>
      <c r="D40" s="110">
        <f>(5/48)*$F$10*$B$10^2/($F$31*$C$39)</f>
        <v>114.97831792926493</v>
      </c>
      <c r="E40" s="110">
        <f>D40-C40</f>
        <v>32.971723523833319</v>
      </c>
      <c r="F40" s="110">
        <f>(5/48)*(F7+0.5*F8)*$B$10^2/($F$31*$C$39)</f>
        <v>98.492456167348266</v>
      </c>
      <c r="G40" s="112">
        <f>F40-C40</f>
        <v>16.485861761916652</v>
      </c>
    </row>
    <row r="41" spans="1:7" ht="18" customHeight="1" x14ac:dyDescent="0.45">
      <c r="A41" s="94" t="s">
        <v>195</v>
      </c>
      <c r="B41" s="110">
        <f>E40+(C40*F34)+(G40*F35)</f>
        <v>226.65946350614652</v>
      </c>
      <c r="C41" s="85" t="s">
        <v>36</v>
      </c>
      <c r="D41" s="191" t="str">
        <f>IF(B42&gt;B41,"OK","NO")</f>
        <v>NO</v>
      </c>
      <c r="G41" s="97"/>
    </row>
    <row r="42" spans="1:7" ht="18" customHeight="1" thickBot="1" x14ac:dyDescent="0.5">
      <c r="A42" s="130" t="s">
        <v>196</v>
      </c>
      <c r="B42" s="131">
        <f>$B$10/240</f>
        <v>8.3333333333333339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"/>
  <sheetViews>
    <sheetView workbookViewId="0"/>
  </sheetViews>
  <sheetFormatPr defaultRowHeight="14.25" x14ac:dyDescent="0.4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Q130"/>
  <sheetViews>
    <sheetView zoomScale="85" zoomScaleNormal="85" workbookViewId="0">
      <selection activeCell="B12" sqref="B12"/>
    </sheetView>
  </sheetViews>
  <sheetFormatPr defaultColWidth="9.1328125" defaultRowHeight="14.25" x14ac:dyDescent="0.45"/>
  <cols>
    <col min="1" max="2" width="10" style="4" customWidth="1"/>
    <col min="3" max="3" width="10.86328125" style="4" customWidth="1"/>
    <col min="4" max="4" width="11.265625" style="4" customWidth="1"/>
    <col min="5" max="5" width="11.3984375" style="4" customWidth="1"/>
    <col min="6" max="6" width="12.73046875" style="4" customWidth="1"/>
    <col min="7" max="8" width="13.73046875" style="4" customWidth="1"/>
    <col min="9" max="12" width="15.73046875" style="3" customWidth="1"/>
    <col min="13" max="13" width="13.73046875" style="4" bestFit="1" customWidth="1"/>
    <col min="14" max="14" width="12.59765625" style="4" bestFit="1" customWidth="1"/>
    <col min="15" max="15" width="12.3984375" style="4" customWidth="1"/>
    <col min="16" max="16" width="13.73046875" style="4" customWidth="1"/>
    <col min="17" max="16384" width="9.1328125" style="4"/>
  </cols>
  <sheetData>
    <row r="1" spans="1:17" ht="19.5" customHeight="1" thickBot="1" x14ac:dyDescent="0.5">
      <c r="A1" s="144" t="s">
        <v>201</v>
      </c>
      <c r="B1" s="144"/>
      <c r="C1" s="144"/>
      <c r="D1" s="144"/>
      <c r="E1" s="144"/>
      <c r="F1" s="144"/>
      <c r="G1" s="144"/>
      <c r="H1" s="1"/>
      <c r="I1" s="2"/>
      <c r="J1" s="2"/>
    </row>
    <row r="2" spans="1:17" ht="15.75" x14ac:dyDescent="0.5">
      <c r="A2" s="145"/>
      <c r="B2" s="146"/>
      <c r="C2" s="147"/>
      <c r="D2" s="5"/>
      <c r="E2" s="6"/>
      <c r="F2" s="148"/>
      <c r="G2" s="149"/>
      <c r="I2" s="7"/>
      <c r="J2" s="7" t="str">
        <f>IF(K3&lt;2, "Two Way Slab", "One way Slab")</f>
        <v>Two Way Slab</v>
      </c>
      <c r="K2" s="7"/>
      <c r="L2" s="7"/>
      <c r="N2" s="4" t="s">
        <v>0</v>
      </c>
    </row>
    <row r="3" spans="1:17" ht="14.25" customHeight="1" x14ac:dyDescent="0.45">
      <c r="A3" s="8"/>
      <c r="B3" s="9" t="s">
        <v>1</v>
      </c>
      <c r="F3" s="9" t="s">
        <v>2</v>
      </c>
      <c r="G3" s="10"/>
      <c r="I3" s="7"/>
      <c r="J3" s="7" t="s">
        <v>3</v>
      </c>
      <c r="K3" s="7">
        <f>F5/F4</f>
        <v>1.6333333333333335</v>
      </c>
      <c r="L3" s="7"/>
    </row>
    <row r="4" spans="1:17" ht="14.25" customHeight="1" x14ac:dyDescent="0.45">
      <c r="A4" s="11" t="s">
        <v>4</v>
      </c>
      <c r="B4" s="12">
        <v>390</v>
      </c>
      <c r="C4" s="13" t="s">
        <v>5</v>
      </c>
      <c r="E4" s="14" t="s">
        <v>6</v>
      </c>
      <c r="F4" s="15">
        <v>6</v>
      </c>
      <c r="G4" s="10" t="s">
        <v>7</v>
      </c>
      <c r="I4" s="7"/>
      <c r="J4" s="7" t="s">
        <v>8</v>
      </c>
      <c r="K4" s="7"/>
      <c r="L4" s="7"/>
    </row>
    <row r="5" spans="1:17" ht="14.25" customHeight="1" x14ac:dyDescent="0.45">
      <c r="A5" s="11" t="s">
        <v>9</v>
      </c>
      <c r="B5" s="12">
        <v>200000</v>
      </c>
      <c r="C5" s="13" t="s">
        <v>5</v>
      </c>
      <c r="E5" s="14" t="s">
        <v>10</v>
      </c>
      <c r="F5" s="15">
        <v>9.8000000000000007</v>
      </c>
      <c r="G5" s="10" t="s">
        <v>7</v>
      </c>
      <c r="I5" s="7" t="s">
        <v>11</v>
      </c>
      <c r="J5" s="7" t="s">
        <v>12</v>
      </c>
      <c r="K5" s="16">
        <v>0.2</v>
      </c>
      <c r="L5" s="17" t="s">
        <v>7</v>
      </c>
    </row>
    <row r="6" spans="1:17" ht="14.25" customHeight="1" x14ac:dyDescent="0.45">
      <c r="A6" s="11" t="s">
        <v>13</v>
      </c>
      <c r="B6" s="12">
        <v>30</v>
      </c>
      <c r="C6" s="13" t="s">
        <v>5</v>
      </c>
      <c r="E6" s="14" t="s">
        <v>14</v>
      </c>
      <c r="F6" s="18">
        <f>K14/180</f>
        <v>0.17555555555555558</v>
      </c>
      <c r="G6" s="10" t="s">
        <v>7</v>
      </c>
      <c r="I6" s="7"/>
      <c r="J6" s="7" t="s">
        <v>15</v>
      </c>
      <c r="K6" s="16">
        <v>0.4</v>
      </c>
      <c r="L6" s="17" t="s">
        <v>7</v>
      </c>
    </row>
    <row r="7" spans="1:17" ht="17.25" customHeight="1" x14ac:dyDescent="0.45">
      <c r="A7" s="11" t="s">
        <v>16</v>
      </c>
      <c r="B7" s="12">
        <v>25</v>
      </c>
      <c r="C7" s="13" t="s">
        <v>17</v>
      </c>
      <c r="E7" s="14" t="s">
        <v>18</v>
      </c>
      <c r="F7" s="19">
        <v>0.2</v>
      </c>
      <c r="G7" s="10" t="s">
        <v>7</v>
      </c>
      <c r="I7" s="7" t="s">
        <v>19</v>
      </c>
      <c r="J7" s="7" t="s">
        <v>20</v>
      </c>
      <c r="K7" s="16">
        <v>0.2</v>
      </c>
      <c r="L7" s="17" t="s">
        <v>7</v>
      </c>
    </row>
    <row r="8" spans="1:17" ht="16.5" customHeight="1" x14ac:dyDescent="0.45">
      <c r="A8" s="8"/>
      <c r="B8" s="14"/>
      <c r="C8" s="13"/>
      <c r="D8" s="13"/>
      <c r="E8" s="14" t="s">
        <v>21</v>
      </c>
      <c r="F8" s="15">
        <v>1</v>
      </c>
      <c r="G8" s="10" t="s">
        <v>7</v>
      </c>
      <c r="I8" s="7"/>
      <c r="J8" s="7" t="s">
        <v>22</v>
      </c>
      <c r="K8" s="16">
        <v>0.4</v>
      </c>
      <c r="L8" s="17" t="s">
        <v>7</v>
      </c>
      <c r="N8" s="4" t="s">
        <v>23</v>
      </c>
    </row>
    <row r="9" spans="1:17" ht="16.5" customHeight="1" x14ac:dyDescent="0.45">
      <c r="A9" s="8"/>
      <c r="B9" s="14"/>
      <c r="C9" s="13"/>
      <c r="D9" s="13"/>
      <c r="E9" s="14" t="s">
        <v>24</v>
      </c>
      <c r="F9" s="15">
        <v>2.5000000000000001E-2</v>
      </c>
      <c r="G9" s="10" t="s">
        <v>7</v>
      </c>
      <c r="I9" s="7"/>
      <c r="J9" s="7" t="s">
        <v>25</v>
      </c>
      <c r="K9" s="20">
        <f>F4</f>
        <v>6</v>
      </c>
      <c r="L9" s="17" t="s">
        <v>7</v>
      </c>
      <c r="O9" s="3"/>
      <c r="P9" s="3"/>
      <c r="Q9" s="3"/>
    </row>
    <row r="10" spans="1:17" ht="14.25" customHeight="1" x14ac:dyDescent="0.45">
      <c r="A10" s="150" t="s">
        <v>26</v>
      </c>
      <c r="B10" s="151"/>
      <c r="C10" s="151"/>
      <c r="D10" s="15" t="s">
        <v>27</v>
      </c>
      <c r="E10" s="9"/>
      <c r="F10" s="15" t="s">
        <v>28</v>
      </c>
      <c r="G10" s="10"/>
      <c r="I10" s="7"/>
      <c r="J10" s="7" t="s">
        <v>29</v>
      </c>
      <c r="K10" s="20">
        <f>F5</f>
        <v>9.8000000000000007</v>
      </c>
      <c r="L10" s="17" t="s">
        <v>7</v>
      </c>
      <c r="O10" s="3"/>
      <c r="P10" s="3"/>
      <c r="Q10" s="3"/>
    </row>
    <row r="11" spans="1:17" ht="15" customHeight="1" x14ac:dyDescent="0.45">
      <c r="A11" s="152" t="s">
        <v>30</v>
      </c>
      <c r="B11" s="3">
        <f>40+0</f>
        <v>40</v>
      </c>
      <c r="C11" s="15"/>
      <c r="D11" s="153">
        <f>C11+C12</f>
        <v>0</v>
      </c>
      <c r="E11" s="154" t="s">
        <v>31</v>
      </c>
      <c r="F11" s="155"/>
      <c r="G11" s="10"/>
      <c r="I11" s="7"/>
      <c r="J11" s="7" t="s">
        <v>32</v>
      </c>
      <c r="K11" s="21">
        <f>F7</f>
        <v>0.2</v>
      </c>
      <c r="L11" s="17" t="s">
        <v>7</v>
      </c>
      <c r="O11" s="3"/>
      <c r="P11" s="3"/>
      <c r="Q11" s="3"/>
    </row>
    <row r="12" spans="1:17" ht="15" customHeight="1" x14ac:dyDescent="0.45">
      <c r="A12" s="152"/>
      <c r="B12" s="3">
        <f>B9-B11-$B$27-(B20/2)</f>
        <v>-40</v>
      </c>
      <c r="C12" s="3"/>
      <c r="D12" s="153"/>
      <c r="E12" s="154"/>
      <c r="F12" s="155"/>
      <c r="G12" s="10"/>
      <c r="I12" s="7"/>
      <c r="J12" s="7" t="s">
        <v>33</v>
      </c>
      <c r="K12" s="20">
        <f>F9</f>
        <v>2.5000000000000001E-2</v>
      </c>
      <c r="L12" s="17" t="s">
        <v>7</v>
      </c>
      <c r="O12" s="3"/>
      <c r="P12" s="3"/>
      <c r="Q12" s="3"/>
    </row>
    <row r="13" spans="1:17" ht="20.25" customHeight="1" x14ac:dyDescent="0.45">
      <c r="A13" s="11" t="s">
        <v>34</v>
      </c>
      <c r="D13" s="15">
        <v>1.92</v>
      </c>
      <c r="E13" s="13" t="s">
        <v>31</v>
      </c>
      <c r="F13" s="15"/>
      <c r="G13" s="10"/>
      <c r="I13" s="7"/>
      <c r="J13" s="7" t="s">
        <v>35</v>
      </c>
      <c r="K13" s="16">
        <v>10</v>
      </c>
      <c r="L13" s="17" t="s">
        <v>36</v>
      </c>
      <c r="O13" s="3"/>
      <c r="P13" s="3"/>
      <c r="Q13" s="3"/>
    </row>
    <row r="14" spans="1:17" ht="15" customHeight="1" x14ac:dyDescent="0.45">
      <c r="A14" s="11" t="s">
        <v>37</v>
      </c>
      <c r="B14" s="3"/>
      <c r="C14" s="13" t="s">
        <v>31</v>
      </c>
      <c r="G14" s="10"/>
      <c r="I14" s="7"/>
      <c r="J14" s="7" t="s">
        <v>38</v>
      </c>
      <c r="K14" s="7">
        <f>(F4+F5)*2</f>
        <v>31.6</v>
      </c>
      <c r="L14" s="7"/>
      <c r="N14" s="4" t="s">
        <v>39</v>
      </c>
      <c r="P14" s="3"/>
      <c r="Q14" s="3"/>
    </row>
    <row r="15" spans="1:17" ht="15" customHeight="1" x14ac:dyDescent="0.45">
      <c r="A15" s="11"/>
      <c r="B15" s="3"/>
      <c r="C15" s="13"/>
      <c r="D15" s="153"/>
      <c r="E15" s="153"/>
      <c r="F15" s="153"/>
      <c r="G15" s="158"/>
      <c r="I15" s="7"/>
      <c r="J15" s="7" t="s">
        <v>40</v>
      </c>
      <c r="K15" s="22">
        <f>$K$9/30</f>
        <v>0.2</v>
      </c>
      <c r="L15" s="7"/>
      <c r="Q15" s="3"/>
    </row>
    <row r="16" spans="1:17" ht="15" customHeight="1" x14ac:dyDescent="0.45">
      <c r="A16" s="11"/>
      <c r="B16" s="3"/>
      <c r="C16" s="13"/>
      <c r="D16" s="153"/>
      <c r="E16" s="153"/>
      <c r="F16" s="153"/>
      <c r="G16" s="158"/>
      <c r="I16" s="7"/>
      <c r="J16" s="7"/>
      <c r="K16" s="22">
        <f>$K$9/50</f>
        <v>0.12</v>
      </c>
      <c r="L16" s="7"/>
      <c r="Q16" s="3"/>
    </row>
    <row r="17" spans="1:17" ht="15" customHeight="1" x14ac:dyDescent="0.45">
      <c r="A17" s="11"/>
      <c r="B17" s="3"/>
      <c r="C17" s="13"/>
      <c r="D17" s="153"/>
      <c r="E17" s="153"/>
      <c r="F17" s="153"/>
      <c r="G17" s="158"/>
      <c r="I17" s="7"/>
      <c r="J17" s="7" t="s">
        <v>41</v>
      </c>
      <c r="K17" s="7">
        <f>B22*B14*F4^2</f>
        <v>0</v>
      </c>
      <c r="L17" s="7"/>
    </row>
    <row r="18" spans="1:17" ht="15" customHeight="1" x14ac:dyDescent="0.45">
      <c r="A18" s="8"/>
      <c r="D18" s="153"/>
      <c r="E18" s="153"/>
      <c r="F18" s="153"/>
      <c r="G18" s="158"/>
      <c r="I18" s="7"/>
      <c r="J18" s="7" t="s">
        <v>42</v>
      </c>
      <c r="K18" s="7">
        <f>B23*B14*F5^2</f>
        <v>0</v>
      </c>
      <c r="L18" s="7"/>
    </row>
    <row r="19" spans="1:17" ht="14.25" customHeight="1" x14ac:dyDescent="0.45">
      <c r="A19" s="23" t="s">
        <v>43</v>
      </c>
      <c r="D19" s="153"/>
      <c r="E19" s="153"/>
      <c r="F19" s="153"/>
      <c r="G19" s="158"/>
      <c r="I19" s="7"/>
      <c r="J19" s="7" t="s">
        <v>44</v>
      </c>
      <c r="K19" s="7">
        <f>$F$11*E22*$D$11*F4^2+$F$13*$D$13*G22*F4^2</f>
        <v>0</v>
      </c>
      <c r="L19" s="7"/>
    </row>
    <row r="20" spans="1:17" ht="14.25" customHeight="1" x14ac:dyDescent="0.45">
      <c r="A20" s="159" t="s">
        <v>45</v>
      </c>
      <c r="B20" s="153"/>
      <c r="C20" s="24"/>
      <c r="D20" s="153"/>
      <c r="E20" s="153"/>
      <c r="F20" s="153"/>
      <c r="G20" s="158"/>
      <c r="I20" s="7"/>
      <c r="J20" s="7" t="s">
        <v>46</v>
      </c>
      <c r="K20" s="7">
        <f>$F$11*E23*$D$11*F5^2+$F$13*$D$13*G23*F5^2</f>
        <v>0</v>
      </c>
      <c r="L20" s="7"/>
    </row>
    <row r="21" spans="1:17" ht="16.5" customHeight="1" x14ac:dyDescent="0.45">
      <c r="A21" s="159" t="s">
        <v>47</v>
      </c>
      <c r="B21" s="153"/>
      <c r="C21" s="15"/>
      <c r="D21" s="3"/>
      <c r="G21" s="10"/>
      <c r="I21" s="7"/>
      <c r="J21" s="17" t="s">
        <v>48</v>
      </c>
      <c r="K21" s="7"/>
      <c r="L21" s="7"/>
    </row>
    <row r="22" spans="1:17" ht="16.5" customHeight="1" x14ac:dyDescent="0.45">
      <c r="A22" s="25" t="s">
        <v>49</v>
      </c>
      <c r="B22" s="160"/>
      <c r="C22" s="160"/>
      <c r="D22" s="3" t="s">
        <v>50</v>
      </c>
      <c r="E22" s="18"/>
      <c r="F22" s="3" t="s">
        <v>51</v>
      </c>
      <c r="G22" s="26"/>
      <c r="I22" s="7"/>
      <c r="J22" s="7" t="s">
        <v>52</v>
      </c>
      <c r="K22" s="7">
        <f>F4/F5</f>
        <v>0.61224489795918358</v>
      </c>
      <c r="L22" s="7"/>
    </row>
    <row r="23" spans="1:17" ht="18.75" customHeight="1" x14ac:dyDescent="0.45">
      <c r="A23" s="25" t="s">
        <v>53</v>
      </c>
      <c r="B23" s="160"/>
      <c r="C23" s="160"/>
      <c r="D23" s="3" t="s">
        <v>54</v>
      </c>
      <c r="E23" s="18"/>
      <c r="F23" s="3" t="s">
        <v>55</v>
      </c>
      <c r="G23" s="26"/>
      <c r="H23" s="27"/>
      <c r="I23" s="7"/>
      <c r="J23" s="7" t="s">
        <v>56</v>
      </c>
      <c r="K23" s="7">
        <f>$B$14/(1+K22^4)</f>
        <v>0</v>
      </c>
      <c r="L23" s="7" t="s">
        <v>31</v>
      </c>
    </row>
    <row r="24" spans="1:17" ht="18.75" customHeight="1" x14ac:dyDescent="0.45">
      <c r="A24" s="161" t="s">
        <v>57</v>
      </c>
      <c r="B24" s="162"/>
      <c r="C24" s="162"/>
      <c r="D24" s="3" t="s">
        <v>58</v>
      </c>
      <c r="E24" s="3" t="s">
        <v>59</v>
      </c>
      <c r="F24" s="3" t="s">
        <v>60</v>
      </c>
      <c r="G24" s="28" t="s">
        <v>61</v>
      </c>
      <c r="H24" s="29"/>
      <c r="I24" s="7"/>
      <c r="J24" s="7" t="s">
        <v>62</v>
      </c>
      <c r="K24" s="7">
        <f>$B$14*(K22^4/(1+K22^4))</f>
        <v>0</v>
      </c>
      <c r="L24" s="7" t="s">
        <v>31</v>
      </c>
    </row>
    <row r="25" spans="1:17" ht="18" customHeight="1" x14ac:dyDescent="0.45">
      <c r="A25" s="161"/>
      <c r="B25" s="162"/>
      <c r="C25" s="162"/>
      <c r="D25" s="24">
        <v>34</v>
      </c>
      <c r="E25" s="24">
        <v>50</v>
      </c>
      <c r="F25" s="24">
        <v>30</v>
      </c>
      <c r="G25" s="30">
        <v>52</v>
      </c>
      <c r="H25" s="29"/>
      <c r="I25" s="7"/>
      <c r="J25" s="7"/>
      <c r="K25" s="7">
        <f>B49*D39/1000</f>
        <v>5.8577741714506984E-2</v>
      </c>
      <c r="L25" s="7"/>
    </row>
    <row r="26" spans="1:17" ht="14.25" customHeight="1" x14ac:dyDescent="0.45">
      <c r="A26" s="159" t="s">
        <v>63</v>
      </c>
      <c r="B26" s="153"/>
      <c r="C26" s="153"/>
      <c r="D26" s="31">
        <f>$F$7-$K$12-($K$13/2/1000)</f>
        <v>0.17</v>
      </c>
      <c r="E26" s="31">
        <f>$F$7-$K$12-($K$13/2/1000)</f>
        <v>0.17</v>
      </c>
      <c r="F26" s="31">
        <f>$F$7-$K$12-($K$13/2/1000)-(K13/1000)</f>
        <v>0.16</v>
      </c>
      <c r="G26" s="32">
        <f>$F$7-$K$12-($K$13/2/1000)-(K13/1000)</f>
        <v>0.16</v>
      </c>
      <c r="H26" s="29"/>
    </row>
    <row r="27" spans="1:17" ht="18" customHeight="1" x14ac:dyDescent="0.45">
      <c r="A27" s="159" t="s">
        <v>64</v>
      </c>
      <c r="B27" s="153"/>
      <c r="C27" s="153"/>
      <c r="D27" s="27">
        <f>F8*D25</f>
        <v>34</v>
      </c>
      <c r="E27" s="27">
        <f>$F$8*E25</f>
        <v>50</v>
      </c>
      <c r="F27" s="27">
        <f>F25*$F$8</f>
        <v>30</v>
      </c>
      <c r="G27" s="33">
        <f>F8*$G$25</f>
        <v>52</v>
      </c>
      <c r="H27" s="29"/>
      <c r="I27" s="7"/>
      <c r="J27" s="34">
        <f>C20</f>
        <v>0</v>
      </c>
      <c r="K27" s="7">
        <v>0.9</v>
      </c>
      <c r="L27" s="7">
        <v>0.85</v>
      </c>
      <c r="N27" s="4">
        <f>2500*3+1500</f>
        <v>9000</v>
      </c>
    </row>
    <row r="28" spans="1:17" ht="12" customHeight="1" x14ac:dyDescent="0.45">
      <c r="A28" s="159" t="s">
        <v>65</v>
      </c>
      <c r="B28" s="153"/>
      <c r="C28" s="153"/>
      <c r="D28" s="27">
        <f>D27/0.9</f>
        <v>37.777777777777779</v>
      </c>
      <c r="E28" s="27">
        <f>E27/0.9</f>
        <v>55.555555555555557</v>
      </c>
      <c r="F28" s="27">
        <f>F27/0.9</f>
        <v>33.333333333333336</v>
      </c>
      <c r="G28" s="33">
        <f>G27/0.9</f>
        <v>57.777777777777779</v>
      </c>
      <c r="H28" s="29"/>
      <c r="I28" s="7" t="str">
        <f>A22</f>
        <v>Caneg=</v>
      </c>
      <c r="J28" s="7">
        <f>L28+(K28-L28)/(K27-L27)*(K27-J27)</f>
        <v>-2.9999999999999888E-2</v>
      </c>
      <c r="K28" s="35">
        <v>5.5E-2</v>
      </c>
      <c r="L28" s="35">
        <v>0.06</v>
      </c>
    </row>
    <row r="29" spans="1:17" x14ac:dyDescent="0.45">
      <c r="A29" s="159" t="s">
        <v>66</v>
      </c>
      <c r="B29" s="153"/>
      <c r="C29" s="153"/>
      <c r="D29" s="27">
        <f>D28/(F8*D26^2)/1000</f>
        <v>1.3071895424836597</v>
      </c>
      <c r="E29" s="27">
        <f>E28/($F$8*E26^2)/1000</f>
        <v>1.9223375624759707</v>
      </c>
      <c r="F29" s="27">
        <f>F28/($F$8*F26^2)/1000</f>
        <v>1.3020833333333333</v>
      </c>
      <c r="G29" s="33">
        <f>G28/($F$8*G26^2)/1000</f>
        <v>2.2569444444444442</v>
      </c>
      <c r="H29" s="29"/>
      <c r="I29" s="7" t="str">
        <f>A23</f>
        <v>Cbneg=</v>
      </c>
      <c r="J29" s="7">
        <f>L29+(K29-L29)/(K27-L27)*(K27-J27)</f>
        <v>0.13899999999999987</v>
      </c>
      <c r="K29" s="35">
        <v>3.6999999999999998E-2</v>
      </c>
      <c r="L29" s="35">
        <v>3.1E-2</v>
      </c>
    </row>
    <row r="30" spans="1:17" x14ac:dyDescent="0.45">
      <c r="A30" s="156" t="s">
        <v>67</v>
      </c>
      <c r="B30" s="157"/>
      <c r="C30" s="157"/>
      <c r="D30" s="36">
        <f>(0.85*$B$6/$B$4)*(1-SQRT(1-(2*D29/(0.85*$B$6))))</f>
        <v>3.4423858608223323E-3</v>
      </c>
      <c r="E30" s="36">
        <f>(0.85*$B$6/$B$4)*(1-SQRT(1-(2*E29/(0.85*$B$6))))</f>
        <v>5.1303445926068197E-3</v>
      </c>
      <c r="F30" s="36">
        <f>(0.85*$B$6/$B$4)*(1-SQRT(1-(2*F29/(0.85*$B$6))))</f>
        <v>3.428566934819311E-3</v>
      </c>
      <c r="G30" s="37">
        <f>(0.85*$B$6/$B$4)*(1-SQRT(1-(2*G29/(0.85*$B$6))))</f>
        <v>6.0686685639862667E-3</v>
      </c>
      <c r="H30" s="29"/>
    </row>
    <row r="31" spans="1:17" x14ac:dyDescent="0.45">
      <c r="A31" s="156" t="s">
        <v>68</v>
      </c>
      <c r="B31" s="157"/>
      <c r="C31" s="157"/>
      <c r="D31" s="31">
        <f>0.85</f>
        <v>0.85</v>
      </c>
      <c r="E31" s="31">
        <f>0.85</f>
        <v>0.85</v>
      </c>
      <c r="F31" s="31">
        <f>0.85</f>
        <v>0.85</v>
      </c>
      <c r="G31" s="32">
        <f>0.85</f>
        <v>0.85</v>
      </c>
      <c r="H31" s="29"/>
      <c r="I31" s="7"/>
      <c r="J31" s="34">
        <f>C20</f>
        <v>0</v>
      </c>
      <c r="K31" s="7">
        <v>0.9</v>
      </c>
      <c r="L31" s="7">
        <v>0.85</v>
      </c>
    </row>
    <row r="32" spans="1:17" ht="15.75" x14ac:dyDescent="0.45">
      <c r="A32" s="159" t="s">
        <v>69</v>
      </c>
      <c r="B32" s="153"/>
      <c r="C32" s="153"/>
      <c r="D32" s="27">
        <f>D30*F8*D26*10^4</f>
        <v>5.8520559633979659</v>
      </c>
      <c r="E32" s="27">
        <f>E30*F8*E26*10^4</f>
        <v>8.7215858074315946</v>
      </c>
      <c r="F32" s="27">
        <f>F30*$F$8*F26*10^4</f>
        <v>5.4857070957108975</v>
      </c>
      <c r="G32" s="33">
        <f>G30*$F$8*G26*10^4</f>
        <v>9.7098697023780272</v>
      </c>
      <c r="H32" s="29"/>
      <c r="I32" s="7" t="str">
        <f>D22</f>
        <v>CaposDL=</v>
      </c>
      <c r="J32" s="7">
        <f>L32+(K32-L32)/(K31-L31)*(K31-J31)</f>
        <v>-1.2000000000000004E-2</v>
      </c>
      <c r="K32" s="35">
        <v>2.1999999999999999E-2</v>
      </c>
      <c r="L32" s="35">
        <v>2.4E-2</v>
      </c>
      <c r="N32" s="24">
        <v>35</v>
      </c>
      <c r="O32" s="24">
        <v>49</v>
      </c>
      <c r="P32" s="24">
        <v>32</v>
      </c>
      <c r="Q32" s="24">
        <v>51</v>
      </c>
    </row>
    <row r="33" spans="1:12" ht="15.75" x14ac:dyDescent="0.45">
      <c r="A33" s="159" t="s">
        <v>70</v>
      </c>
      <c r="B33" s="153"/>
      <c r="C33" s="153"/>
      <c r="D33" s="27">
        <f>0.0018*$B$4*F7*10^4/413.68</f>
        <v>3.3939276735641073</v>
      </c>
      <c r="E33" s="27">
        <f>0.0018*$B$4*F7*10^4/413.68</f>
        <v>3.3939276735641073</v>
      </c>
      <c r="F33" s="27">
        <f>0.0018*$B$4*F7*10^4/413.68</f>
        <v>3.3939276735641073</v>
      </c>
      <c r="G33" s="33">
        <f>0.0018*$B$4*F7*10^4/413.68</f>
        <v>3.3939276735641073</v>
      </c>
      <c r="I33" s="7" t="str">
        <f>D23</f>
        <v>CbposDL=</v>
      </c>
      <c r="J33" s="7">
        <f>L33+(K33-L33)/(K31-L31)*(K31-J31)</f>
        <v>4.7999999999999973E-2</v>
      </c>
      <c r="K33" s="35">
        <v>1.4E-2</v>
      </c>
      <c r="L33" s="35">
        <v>1.2E-2</v>
      </c>
    </row>
    <row r="34" spans="1:12" ht="15.75" x14ac:dyDescent="0.45">
      <c r="A34" s="159" t="s">
        <v>71</v>
      </c>
      <c r="B34" s="153"/>
      <c r="C34" s="153"/>
      <c r="D34" s="38">
        <f>MAX(D32:D33)</f>
        <v>5.8520559633979659</v>
      </c>
      <c r="E34" s="38">
        <f>MAX(E32:E33)</f>
        <v>8.7215858074315946</v>
      </c>
      <c r="F34" s="38">
        <f>MAX(F32:F33)</f>
        <v>5.4857070957108975</v>
      </c>
      <c r="G34" s="39">
        <f>MAX(G32:G33)</f>
        <v>9.7098697023780272</v>
      </c>
      <c r="I34" s="27"/>
    </row>
    <row r="35" spans="1:12" x14ac:dyDescent="0.45">
      <c r="A35" s="163" t="s">
        <v>35</v>
      </c>
      <c r="B35" s="155"/>
      <c r="C35" s="155"/>
      <c r="D35" s="40">
        <v>12</v>
      </c>
      <c r="E35" s="40">
        <v>12</v>
      </c>
      <c r="F35" s="40">
        <v>12</v>
      </c>
      <c r="G35" s="41">
        <v>12</v>
      </c>
      <c r="I35" s="7"/>
      <c r="J35" s="34">
        <f>C20</f>
        <v>0</v>
      </c>
      <c r="K35" s="7">
        <v>0.9</v>
      </c>
      <c r="L35" s="7">
        <v>0.85</v>
      </c>
    </row>
    <row r="36" spans="1:12" x14ac:dyDescent="0.45">
      <c r="A36" s="159" t="s">
        <v>72</v>
      </c>
      <c r="B36" s="153"/>
      <c r="C36" s="153"/>
      <c r="D36" s="27">
        <f>(D35^2*PI()/4)*F8*1000/D34/100</f>
        <v>193.26085778503591</v>
      </c>
      <c r="E36" s="27">
        <f>(E35^2*PI()/4)*$F$8*1000/E34/100</f>
        <v>129.67519672037534</v>
      </c>
      <c r="F36" s="27">
        <f>(F35^2*PI()/4)*$F$8*1000/F34/100</f>
        <v>206.16728811069737</v>
      </c>
      <c r="G36" s="33">
        <f>(G35^2*PI()/4)*$F$8*1000/G34/100</f>
        <v>116.4766768204254</v>
      </c>
      <c r="I36" s="7" t="str">
        <f>F22</f>
        <v>CaposLL=</v>
      </c>
      <c r="J36" s="7">
        <f>L36+(K36-L36)/(K35-L35)*(K35-J35)</f>
        <v>-1.6999999999999876E-2</v>
      </c>
      <c r="K36" s="35">
        <v>3.4000000000000002E-2</v>
      </c>
      <c r="L36" s="35">
        <v>3.6999999999999998E-2</v>
      </c>
    </row>
    <row r="37" spans="1:12" x14ac:dyDescent="0.45">
      <c r="A37" s="159" t="s">
        <v>73</v>
      </c>
      <c r="B37" s="153"/>
      <c r="C37" s="153"/>
      <c r="D37" s="31">
        <f>MIN(2*$F$7*1000,450)</f>
        <v>400</v>
      </c>
      <c r="E37" s="31">
        <f>MIN(2*$F$7*1000,450)</f>
        <v>400</v>
      </c>
      <c r="F37" s="31">
        <f>MIN(2*$F$7*1000,450)</f>
        <v>400</v>
      </c>
      <c r="G37" s="32">
        <f>MIN(2*$F$7*1000,450)</f>
        <v>400</v>
      </c>
      <c r="I37" s="7" t="str">
        <f>F23</f>
        <v>CbposLL=</v>
      </c>
      <c r="J37" s="7">
        <f>L37+(K37-L37)/(K35-L35)*(K35-J35)</f>
        <v>7.299999999999994E-2</v>
      </c>
      <c r="K37" s="35">
        <v>2.1999999999999999E-2</v>
      </c>
      <c r="L37" s="35">
        <v>1.9E-2</v>
      </c>
    </row>
    <row r="38" spans="1:12" x14ac:dyDescent="0.45">
      <c r="A38" s="163" t="s">
        <v>74</v>
      </c>
      <c r="B38" s="155"/>
      <c r="C38" s="155"/>
      <c r="D38" s="42">
        <v>150</v>
      </c>
      <c r="E38" s="42">
        <v>100</v>
      </c>
      <c r="F38" s="42">
        <v>150</v>
      </c>
      <c r="G38" s="43">
        <v>100</v>
      </c>
    </row>
    <row r="39" spans="1:12" ht="15.75" x14ac:dyDescent="0.45">
      <c r="A39" s="164" t="s">
        <v>75</v>
      </c>
      <c r="B39" s="165"/>
      <c r="C39" s="165"/>
      <c r="D39" s="44">
        <f>F8*(D35^2*PI()/4)/D38*10</f>
        <v>7.5398223686155035</v>
      </c>
      <c r="E39" s="44">
        <f>F8*(E35^2*PI()/4)/E38*10</f>
        <v>11.309733552923255</v>
      </c>
      <c r="F39" s="44">
        <f>$F$8*(F35^2*PI()/4)/F38*10</f>
        <v>7.5398223686155035</v>
      </c>
      <c r="G39" s="45">
        <f>$F$8*(G35^2*PI()/4)/G38*10</f>
        <v>11.309733552923255</v>
      </c>
    </row>
    <row r="40" spans="1:12" ht="15" customHeight="1" thickBot="1" x14ac:dyDescent="0.5">
      <c r="A40" s="166" t="s">
        <v>76</v>
      </c>
      <c r="B40" s="167"/>
      <c r="C40" s="167"/>
      <c r="D40" s="46">
        <f>D39/D34</f>
        <v>1.288405718566906</v>
      </c>
      <c r="E40" s="46">
        <f>E39/E34</f>
        <v>1.2967519672037533</v>
      </c>
      <c r="F40" s="46">
        <f>F39/F34</f>
        <v>1.374448587404649</v>
      </c>
      <c r="G40" s="47">
        <f>G39/G34</f>
        <v>1.164766768204254</v>
      </c>
    </row>
    <row r="41" spans="1:12" x14ac:dyDescent="0.45">
      <c r="D41" s="48" t="str">
        <f>IF(D40&gt;1,"OK","NO")</f>
        <v>OK</v>
      </c>
      <c r="E41" s="48" t="str">
        <f t="shared" ref="E41:G41" si="0">IF(E40&gt;1,"OK","NO")</f>
        <v>OK</v>
      </c>
      <c r="F41" s="48" t="str">
        <f t="shared" si="0"/>
        <v>OK</v>
      </c>
      <c r="G41" s="48" t="str">
        <f t="shared" si="0"/>
        <v>OK</v>
      </c>
    </row>
    <row r="42" spans="1:12" ht="14.65" thickBot="1" x14ac:dyDescent="0.5"/>
    <row r="43" spans="1:12" ht="15.75" x14ac:dyDescent="0.45">
      <c r="A43" s="49" t="s">
        <v>77</v>
      </c>
      <c r="B43" s="50"/>
      <c r="C43" s="50"/>
      <c r="D43" s="51"/>
      <c r="E43" s="50"/>
      <c r="F43" s="50"/>
      <c r="G43" s="52"/>
      <c r="H43" s="53"/>
    </row>
    <row r="44" spans="1:12" x14ac:dyDescent="0.45">
      <c r="A44" s="11" t="s">
        <v>78</v>
      </c>
      <c r="B44" s="3">
        <f>4700*SQRT($B$6)</f>
        <v>25742.960202742808</v>
      </c>
      <c r="C44" s="4" t="s">
        <v>5</v>
      </c>
      <c r="D44" s="9"/>
      <c r="E44" s="54" t="s">
        <v>79</v>
      </c>
      <c r="F44" s="54">
        <v>3</v>
      </c>
      <c r="G44" s="55"/>
      <c r="H44" s="3"/>
    </row>
    <row r="45" spans="1:12" ht="15.75" x14ac:dyDescent="0.45">
      <c r="A45" s="11" t="s">
        <v>80</v>
      </c>
      <c r="B45" s="56">
        <f>F8*F7^3/12</f>
        <v>6.6666666666666686E-4</v>
      </c>
      <c r="C45" s="4" t="s">
        <v>81</v>
      </c>
      <c r="D45" s="3"/>
      <c r="E45" s="168" t="s">
        <v>82</v>
      </c>
      <c r="F45" s="169"/>
      <c r="G45" s="170"/>
    </row>
    <row r="46" spans="1:12" x14ac:dyDescent="0.45">
      <c r="A46" s="11" t="s">
        <v>83</v>
      </c>
      <c r="B46" s="3">
        <f>0.63*SQRT($B$6)</f>
        <v>3.4506521122825466</v>
      </c>
      <c r="C46" s="4" t="s">
        <v>5</v>
      </c>
      <c r="D46" s="3"/>
      <c r="E46" s="57" t="s">
        <v>84</v>
      </c>
      <c r="F46" s="58">
        <f>1000*B53*F4^2*$F$8/(16*$B$44*$B$51*1000)</f>
        <v>3.9160685805719306</v>
      </c>
      <c r="G46" s="55" t="s">
        <v>36</v>
      </c>
    </row>
    <row r="47" spans="1:12" x14ac:dyDescent="0.45">
      <c r="A47" s="11" t="s">
        <v>85</v>
      </c>
      <c r="B47" s="3">
        <f>F7/2</f>
        <v>0.1</v>
      </c>
      <c r="C47" s="4" t="s">
        <v>7</v>
      </c>
      <c r="E47" s="59" t="s">
        <v>86</v>
      </c>
      <c r="F47" s="58">
        <f>1000*B54*F5^2*$F$8/(16*$B$44*$B$51*1000)</f>
        <v>9.7009721115390235</v>
      </c>
      <c r="G47" s="55" t="s">
        <v>36</v>
      </c>
    </row>
    <row r="48" spans="1:12" x14ac:dyDescent="0.45">
      <c r="A48" s="11" t="s">
        <v>87</v>
      </c>
      <c r="B48" s="24">
        <f>B46*B45*1000/B47</f>
        <v>23.004347415216984</v>
      </c>
      <c r="C48" s="4" t="s">
        <v>88</v>
      </c>
      <c r="D48" s="3"/>
      <c r="E48" s="59" t="s">
        <v>89</v>
      </c>
      <c r="F48" s="58">
        <f>(F46+F47)/2</f>
        <v>6.8085203460554773</v>
      </c>
      <c r="G48" s="55" t="s">
        <v>36</v>
      </c>
    </row>
    <row r="49" spans="1:15" x14ac:dyDescent="0.45">
      <c r="A49" s="11" t="s">
        <v>90</v>
      </c>
      <c r="B49" s="60">
        <f>B5/B44</f>
        <v>7.7691142908534196</v>
      </c>
      <c r="D49" s="3"/>
      <c r="E49" s="61" t="s">
        <v>91</v>
      </c>
      <c r="F49" s="58">
        <f>F48*F44/2</f>
        <v>10.212780519083216</v>
      </c>
      <c r="G49" s="55" t="s">
        <v>36</v>
      </c>
    </row>
    <row r="50" spans="1:15" x14ac:dyDescent="0.45">
      <c r="A50" s="11" t="s">
        <v>92</v>
      </c>
      <c r="B50" s="18">
        <f>(-K25+SQRT(K25^2+2*K25*F8*E26))/F8</f>
        <v>9.422207506320994E-2</v>
      </c>
      <c r="C50" s="4" t="s">
        <v>7</v>
      </c>
      <c r="E50" s="168" t="s">
        <v>93</v>
      </c>
      <c r="F50" s="169"/>
      <c r="G50" s="170"/>
    </row>
    <row r="51" spans="1:15" ht="15.75" x14ac:dyDescent="0.45">
      <c r="A51" s="11" t="s">
        <v>94</v>
      </c>
      <c r="B51" s="56">
        <f>(F8*B50^3/3)+(B49*D39/10000*(E26-B50)^2)</f>
        <v>3.1246528900949564E-4</v>
      </c>
      <c r="C51" s="4" t="s">
        <v>81</v>
      </c>
      <c r="E51" s="62" t="s">
        <v>95</v>
      </c>
      <c r="F51" s="58">
        <f>1000*3*B55*F4^2*$F$8/(32*$B$44*$B$51*1000)</f>
        <v>4.6153665413883465</v>
      </c>
      <c r="G51" s="55" t="s">
        <v>36</v>
      </c>
      <c r="H51" s="63"/>
      <c r="J51" s="153"/>
      <c r="K51" s="153"/>
      <c r="L51" s="153"/>
      <c r="M51" s="3"/>
      <c r="N51" s="3"/>
      <c r="O51" s="3"/>
    </row>
    <row r="52" spans="1:15" ht="15.75" x14ac:dyDescent="0.45">
      <c r="A52" s="11" t="s">
        <v>96</v>
      </c>
      <c r="B52" s="56">
        <f>(B48/B53)^3*B45+(1-(B48/B53)^3)*B51</f>
        <v>1.8838983729916336E-3</v>
      </c>
      <c r="C52" s="4" t="s">
        <v>81</v>
      </c>
      <c r="E52" s="62" t="s">
        <v>97</v>
      </c>
      <c r="F52" s="58">
        <f>1000*3*B56*F5^2*$F$8/(32*$B$44*$B$51*1000)</f>
        <v>9.5144149555478883</v>
      </c>
      <c r="G52" s="55" t="s">
        <v>36</v>
      </c>
      <c r="J52" s="173"/>
      <c r="K52" s="173"/>
      <c r="L52" s="173"/>
      <c r="M52" s="3"/>
      <c r="N52" s="3"/>
      <c r="O52" s="3"/>
    </row>
    <row r="53" spans="1:15" ht="15.75" x14ac:dyDescent="0.45">
      <c r="A53" s="11" t="s">
        <v>98</v>
      </c>
      <c r="B53" s="24">
        <v>14</v>
      </c>
      <c r="C53" s="4" t="s">
        <v>88</v>
      </c>
      <c r="E53" s="62" t="s">
        <v>99</v>
      </c>
      <c r="F53" s="58">
        <f>(F51+F52)/2</f>
        <v>7.0648907484681178</v>
      </c>
      <c r="G53" s="64" t="s">
        <v>36</v>
      </c>
      <c r="J53" s="173"/>
      <c r="K53" s="173"/>
      <c r="L53" s="173"/>
      <c r="M53" s="3"/>
      <c r="N53" s="65"/>
      <c r="O53" s="65"/>
    </row>
    <row r="54" spans="1:15" ht="15.75" x14ac:dyDescent="0.45">
      <c r="A54" s="11" t="s">
        <v>100</v>
      </c>
      <c r="B54" s="24">
        <v>13</v>
      </c>
      <c r="C54" s="4" t="s">
        <v>88</v>
      </c>
      <c r="E54" s="168" t="s">
        <v>101</v>
      </c>
      <c r="F54" s="169"/>
      <c r="G54" s="170"/>
      <c r="J54" s="173"/>
      <c r="K54" s="173"/>
      <c r="L54" s="173"/>
      <c r="M54" s="3"/>
      <c r="N54" s="65"/>
      <c r="O54" s="65"/>
    </row>
    <row r="55" spans="1:15" ht="15.75" x14ac:dyDescent="0.45">
      <c r="A55" s="11" t="s">
        <v>102</v>
      </c>
      <c r="B55" s="24">
        <v>11</v>
      </c>
      <c r="C55" s="4" t="s">
        <v>88</v>
      </c>
      <c r="E55" s="62" t="s">
        <v>103</v>
      </c>
      <c r="F55" s="66">
        <f>F49+F53</f>
        <v>17.277671267551334</v>
      </c>
      <c r="G55" s="55" t="s">
        <v>36</v>
      </c>
      <c r="J55" s="173"/>
      <c r="K55" s="173"/>
      <c r="L55" s="173"/>
      <c r="M55" s="3"/>
      <c r="N55" s="65"/>
      <c r="O55" s="65"/>
    </row>
    <row r="56" spans="1:15" ht="15.75" x14ac:dyDescent="0.45">
      <c r="A56" s="11" t="s">
        <v>104</v>
      </c>
      <c r="B56" s="24">
        <v>8.5</v>
      </c>
      <c r="C56" s="4" t="s">
        <v>88</v>
      </c>
      <c r="E56" s="62" t="s">
        <v>105</v>
      </c>
      <c r="F56" s="137">
        <f>F4/240*1000</f>
        <v>25</v>
      </c>
      <c r="G56" s="67" t="s">
        <v>36</v>
      </c>
      <c r="K56" s="68"/>
      <c r="L56" s="68"/>
    </row>
    <row r="57" spans="1:15" ht="15" x14ac:dyDescent="0.45">
      <c r="A57" s="8"/>
      <c r="F57" s="174" t="str">
        <f>IF((F55/F56)&lt;1,"OK","NO")</f>
        <v>OK</v>
      </c>
      <c r="G57" s="175"/>
      <c r="K57" s="68"/>
      <c r="L57" s="68"/>
    </row>
    <row r="58" spans="1:15" ht="15" x14ac:dyDescent="0.45">
      <c r="A58" s="8"/>
      <c r="G58" s="10"/>
      <c r="K58" s="68"/>
      <c r="L58" s="68"/>
    </row>
    <row r="59" spans="1:15" ht="15" x14ac:dyDescent="0.45">
      <c r="A59" s="8"/>
      <c r="B59" s="168" t="s">
        <v>106</v>
      </c>
      <c r="C59" s="169"/>
      <c r="D59" s="171"/>
      <c r="E59" s="62" t="s">
        <v>35</v>
      </c>
      <c r="F59" s="62" t="s">
        <v>107</v>
      </c>
      <c r="G59" s="10"/>
      <c r="K59" s="68"/>
      <c r="L59" s="69"/>
    </row>
    <row r="60" spans="1:15" ht="15" x14ac:dyDescent="0.45">
      <c r="A60" s="8"/>
      <c r="B60" s="172" t="s">
        <v>108</v>
      </c>
      <c r="C60" s="172"/>
      <c r="D60" s="62" t="s">
        <v>109</v>
      </c>
      <c r="E60" s="70">
        <f>K13</f>
        <v>10</v>
      </c>
      <c r="F60" s="71">
        <f>D38</f>
        <v>150</v>
      </c>
      <c r="G60" s="10"/>
      <c r="K60" s="68"/>
      <c r="L60" s="68"/>
    </row>
    <row r="61" spans="1:15" ht="16.5" customHeight="1" x14ac:dyDescent="0.45">
      <c r="A61" s="8"/>
      <c r="B61" s="172"/>
      <c r="C61" s="172"/>
      <c r="D61" s="62" t="s">
        <v>110</v>
      </c>
      <c r="E61" s="70">
        <f>E60</f>
        <v>10</v>
      </c>
      <c r="F61" s="71">
        <f>F38</f>
        <v>150</v>
      </c>
      <c r="G61" s="72"/>
      <c r="K61" s="68"/>
      <c r="L61" s="68"/>
    </row>
    <row r="62" spans="1:15" ht="16.5" customHeight="1" x14ac:dyDescent="0.45">
      <c r="A62" s="8"/>
      <c r="B62" s="172" t="s">
        <v>111</v>
      </c>
      <c r="C62" s="172"/>
      <c r="D62" s="62" t="s">
        <v>109</v>
      </c>
      <c r="E62" s="70">
        <f t="shared" ref="E62:E63" si="1">E61</f>
        <v>10</v>
      </c>
      <c r="F62" s="71">
        <f>E38</f>
        <v>100</v>
      </c>
      <c r="G62" s="10"/>
      <c r="K62" s="68"/>
      <c r="L62" s="68"/>
    </row>
    <row r="63" spans="1:15" ht="16.5" customHeight="1" x14ac:dyDescent="0.45">
      <c r="A63" s="8"/>
      <c r="B63" s="172"/>
      <c r="C63" s="172"/>
      <c r="D63" s="62" t="s">
        <v>110</v>
      </c>
      <c r="E63" s="70">
        <f t="shared" si="1"/>
        <v>10</v>
      </c>
      <c r="F63" s="71">
        <f>G38</f>
        <v>100</v>
      </c>
      <c r="G63" s="10"/>
      <c r="K63" s="68"/>
      <c r="L63" s="68"/>
    </row>
    <row r="64" spans="1:15" ht="16.5" customHeight="1" x14ac:dyDescent="0.45">
      <c r="A64" s="8"/>
      <c r="D64" s="73"/>
      <c r="E64" s="3"/>
      <c r="F64" s="3"/>
      <c r="G64" s="10"/>
      <c r="K64" s="68"/>
      <c r="L64" s="68"/>
    </row>
    <row r="65" spans="1:12" ht="15" customHeight="1" x14ac:dyDescent="0.45">
      <c r="A65" s="8"/>
      <c r="D65" s="3"/>
      <c r="E65" s="3"/>
      <c r="F65" s="3"/>
      <c r="G65" s="10"/>
      <c r="K65" s="68"/>
      <c r="L65" s="68"/>
    </row>
    <row r="66" spans="1:12" ht="15" customHeight="1" x14ac:dyDescent="0.45">
      <c r="A66" s="8"/>
      <c r="E66" s="3"/>
      <c r="F66" s="3"/>
      <c r="G66" s="10"/>
      <c r="K66" s="68"/>
      <c r="L66" s="68"/>
    </row>
    <row r="67" spans="1:12" x14ac:dyDescent="0.45">
      <c r="A67" s="8"/>
      <c r="E67" s="3"/>
      <c r="F67" s="3"/>
      <c r="G67" s="10"/>
    </row>
    <row r="68" spans="1:12" x14ac:dyDescent="0.45">
      <c r="A68" s="8"/>
      <c r="E68" s="3"/>
      <c r="F68" s="3"/>
      <c r="G68" s="10"/>
    </row>
    <row r="69" spans="1:12" ht="19.5" customHeight="1" x14ac:dyDescent="0.45">
      <c r="A69" s="8"/>
      <c r="E69" s="3"/>
      <c r="F69" s="3"/>
      <c r="G69" s="10"/>
    </row>
    <row r="70" spans="1:12" x14ac:dyDescent="0.45">
      <c r="A70" s="8"/>
      <c r="E70" s="3"/>
      <c r="F70" s="3"/>
      <c r="G70" s="10"/>
    </row>
    <row r="71" spans="1:12" ht="15" customHeight="1" x14ac:dyDescent="0.45">
      <c r="A71" s="8"/>
      <c r="E71" s="3"/>
      <c r="F71" s="3"/>
      <c r="G71" s="10"/>
    </row>
    <row r="72" spans="1:12" ht="15" customHeight="1" thickBot="1" x14ac:dyDescent="0.5">
      <c r="A72" s="74"/>
      <c r="B72" s="75"/>
      <c r="C72" s="75"/>
      <c r="D72" s="75"/>
      <c r="E72" s="76"/>
      <c r="F72" s="76"/>
      <c r="G72" s="77"/>
    </row>
    <row r="73" spans="1:12" x14ac:dyDescent="0.45">
      <c r="E73" s="3"/>
      <c r="F73" s="3"/>
    </row>
    <row r="74" spans="1:12" x14ac:dyDescent="0.45">
      <c r="E74" s="3"/>
      <c r="F74" s="3"/>
    </row>
    <row r="84" spans="1:5" ht="15.75" x14ac:dyDescent="0.45">
      <c r="A84" s="53"/>
      <c r="B84" s="3"/>
      <c r="C84" s="53"/>
      <c r="D84" s="3"/>
    </row>
    <row r="85" spans="1:5" x14ac:dyDescent="0.45">
      <c r="A85" s="3"/>
      <c r="B85" s="78"/>
      <c r="C85" s="3"/>
      <c r="D85" s="3"/>
    </row>
    <row r="87" spans="1:5" x14ac:dyDescent="0.45">
      <c r="B87" s="24"/>
      <c r="D87" s="24"/>
    </row>
    <row r="88" spans="1:5" x14ac:dyDescent="0.45">
      <c r="B88" s="24"/>
      <c r="D88" s="24"/>
    </row>
    <row r="89" spans="1:5" x14ac:dyDescent="0.45">
      <c r="B89" s="24"/>
      <c r="D89" s="24"/>
    </row>
    <row r="90" spans="1:5" x14ac:dyDescent="0.45">
      <c r="B90" s="18"/>
      <c r="D90" s="18"/>
    </row>
    <row r="91" spans="1:5" ht="20.25" customHeight="1" x14ac:dyDescent="0.45">
      <c r="B91" s="24"/>
      <c r="D91" s="24"/>
    </row>
    <row r="92" spans="1:5" ht="19.5" customHeight="1" x14ac:dyDescent="0.45">
      <c r="B92" s="24"/>
      <c r="D92" s="24"/>
    </row>
    <row r="93" spans="1:5" x14ac:dyDescent="0.45">
      <c r="B93" s="24"/>
      <c r="D93" s="24"/>
    </row>
    <row r="95" spans="1:5" x14ac:dyDescent="0.45">
      <c r="E95" s="79"/>
    </row>
    <row r="96" spans="1:5" x14ac:dyDescent="0.45">
      <c r="A96" s="80"/>
      <c r="B96" s="80"/>
      <c r="C96" s="80"/>
      <c r="D96" s="80"/>
      <c r="E96" s="81"/>
    </row>
    <row r="97" spans="1:5" x14ac:dyDescent="0.45">
      <c r="E97" s="81"/>
    </row>
    <row r="98" spans="1:5" x14ac:dyDescent="0.45">
      <c r="E98" s="81"/>
    </row>
    <row r="99" spans="1:5" ht="18" customHeight="1" x14ac:dyDescent="0.45">
      <c r="E99" s="81"/>
    </row>
    <row r="100" spans="1:5" x14ac:dyDescent="0.45">
      <c r="E100" s="81"/>
    </row>
    <row r="101" spans="1:5" x14ac:dyDescent="0.45">
      <c r="E101" s="81"/>
    </row>
    <row r="102" spans="1:5" x14ac:dyDescent="0.45">
      <c r="E102" s="81"/>
    </row>
    <row r="103" spans="1:5" x14ac:dyDescent="0.45">
      <c r="E103" s="81"/>
    </row>
    <row r="104" spans="1:5" x14ac:dyDescent="0.45">
      <c r="E104" s="81"/>
    </row>
    <row r="105" spans="1:5" x14ac:dyDescent="0.45">
      <c r="E105" s="81"/>
    </row>
    <row r="106" spans="1:5" x14ac:dyDescent="0.45">
      <c r="E106" s="81"/>
    </row>
    <row r="107" spans="1:5" x14ac:dyDescent="0.45">
      <c r="E107" s="81"/>
    </row>
    <row r="108" spans="1:5" x14ac:dyDescent="0.45">
      <c r="E108" s="81"/>
    </row>
    <row r="109" spans="1:5" x14ac:dyDescent="0.45">
      <c r="E109" s="81"/>
    </row>
    <row r="110" spans="1:5" x14ac:dyDescent="0.45">
      <c r="E110" s="82"/>
    </row>
    <row r="111" spans="1:5" x14ac:dyDescent="0.45">
      <c r="A111" s="83"/>
      <c r="B111" s="83"/>
      <c r="C111" s="83"/>
      <c r="D111" s="83"/>
    </row>
    <row r="117" ht="15.75" customHeight="1" x14ac:dyDescent="0.45"/>
    <row r="118" ht="15.75" customHeight="1" x14ac:dyDescent="0.45"/>
    <row r="130" ht="87.75" customHeight="1" x14ac:dyDescent="0.45"/>
  </sheetData>
  <mergeCells count="41">
    <mergeCell ref="B59:D59"/>
    <mergeCell ref="B60:C61"/>
    <mergeCell ref="B62:C63"/>
    <mergeCell ref="J52:L52"/>
    <mergeCell ref="J53:L53"/>
    <mergeCell ref="E54:G54"/>
    <mergeCell ref="J54:L54"/>
    <mergeCell ref="J55:L55"/>
    <mergeCell ref="F57:G57"/>
    <mergeCell ref="J51:L51"/>
    <mergeCell ref="A32:C32"/>
    <mergeCell ref="A33:C33"/>
    <mergeCell ref="A34:C34"/>
    <mergeCell ref="A35:C35"/>
    <mergeCell ref="A36:C36"/>
    <mergeCell ref="A37:C37"/>
    <mergeCell ref="A38:C38"/>
    <mergeCell ref="A39:C39"/>
    <mergeCell ref="A40:C40"/>
    <mergeCell ref="E45:G45"/>
    <mergeCell ref="E50:G50"/>
    <mergeCell ref="A31:C31"/>
    <mergeCell ref="D15:G20"/>
    <mergeCell ref="A20:B20"/>
    <mergeCell ref="A21:B21"/>
    <mergeCell ref="B22:C22"/>
    <mergeCell ref="B23:C23"/>
    <mergeCell ref="A24:C25"/>
    <mergeCell ref="A26:C26"/>
    <mergeCell ref="A27:C27"/>
    <mergeCell ref="A28:C28"/>
    <mergeCell ref="A29:C29"/>
    <mergeCell ref="A30:C30"/>
    <mergeCell ref="A1:G1"/>
    <mergeCell ref="A2:C2"/>
    <mergeCell ref="F2:G2"/>
    <mergeCell ref="A10:C10"/>
    <mergeCell ref="A11:A12"/>
    <mergeCell ref="D11:D12"/>
    <mergeCell ref="E11:E12"/>
    <mergeCell ref="F11:F12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19"/>
  <dimension ref="A1:R51"/>
  <sheetViews>
    <sheetView topLeftCell="A10" zoomScaleNormal="100" zoomScalePageLayoutView="70" workbookViewId="0">
      <selection activeCell="C25" sqref="C25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228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329*10^6</f>
        <v>329000000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170*10^6</f>
        <v>170000000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98*10^6</f>
        <v>98000000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35*10^6</f>
        <v>35000000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243*10^3</f>
        <v>243000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7000</v>
      </c>
      <c r="C10" s="98" t="s">
        <v>36</v>
      </c>
      <c r="E10" s="96" t="s">
        <v>139</v>
      </c>
      <c r="F10" s="99">
        <f>F7+F8</f>
        <v>133000000</v>
      </c>
      <c r="G10" s="97" t="s">
        <v>123</v>
      </c>
      <c r="J10" s="85" t="s">
        <v>140</v>
      </c>
      <c r="K10" s="85">
        <f>B8*B12</f>
        <v>232800</v>
      </c>
    </row>
    <row r="11" spans="1:17" ht="18" customHeight="1" x14ac:dyDescent="0.45">
      <c r="A11" s="94" t="s">
        <v>141</v>
      </c>
      <c r="B11" s="95">
        <f>40+60</f>
        <v>100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582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2.6980340598507602</v>
      </c>
      <c r="C15" s="110">
        <f>$F$6/($F$11*B8*B12^2)</f>
        <v>1.3941209427800281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7.3287657552786054E-3</v>
      </c>
      <c r="C16" s="114">
        <f>0.85*$B$5/$B$6*(1-SQRT(1-(2*C15/(0.85*$B$5))))</f>
        <v>3.6781229983345325E-3</v>
      </c>
      <c r="E16" s="96" t="s">
        <v>151</v>
      </c>
      <c r="F16" s="110">
        <f>B22*$B$6/(0.85*$B$5*$B$8)</f>
        <v>72.071831464707017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7.3287657552786054E-3</v>
      </c>
      <c r="C18" s="114">
        <f>MAX(C16:C17)</f>
        <v>3.6781229983345325E-3</v>
      </c>
      <c r="E18" s="96" t="s">
        <v>155</v>
      </c>
      <c r="F18" s="115">
        <f>0.003*($B$12-F17)/F17</f>
        <v>1.7591956244746628E-2</v>
      </c>
      <c r="G18" s="116">
        <f>0.003*($B$12-G17)/G17</f>
        <v>3.8183912489493252E-2</v>
      </c>
    </row>
    <row r="19" spans="1:18" ht="18" customHeight="1" x14ac:dyDescent="0.45">
      <c r="A19" s="94" t="s">
        <v>156</v>
      </c>
      <c r="B19" s="110">
        <f>$K$10*B18</f>
        <v>1706.1366678288593</v>
      </c>
      <c r="C19" s="117">
        <f>$K$10*C18</f>
        <v>856.26703401227917</v>
      </c>
      <c r="E19" s="96" t="s">
        <v>157</v>
      </c>
      <c r="F19" s="118">
        <f>B22*$B$6*($B$12-F16/2)</f>
        <v>401356040.96463341</v>
      </c>
      <c r="G19" s="119">
        <f>C22*$B$6*($B$12-G16/2)</f>
        <v>207300815.31793004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361220436.86817008</v>
      </c>
      <c r="G20" s="119">
        <f>$F$11*G19</f>
        <v>186570733.78613704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6</v>
      </c>
      <c r="C21" s="95">
        <v>3</v>
      </c>
      <c r="E21" s="96" t="s">
        <v>76</v>
      </c>
      <c r="F21" s="120">
        <f>F20/F5</f>
        <v>1.0979344585658666</v>
      </c>
      <c r="G21" s="121">
        <f>G20/F6</f>
        <v>1.0974749046243355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1884.9555921538758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162575.00951868342</v>
      </c>
      <c r="C24" s="85" t="s">
        <v>136</v>
      </c>
      <c r="E24" s="96" t="s">
        <v>169</v>
      </c>
      <c r="F24" s="99">
        <f>F9</f>
        <v>243000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81287.504759341711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80424.990481316578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3*B27^2*PI()/4</f>
        <v>150.79644737231007</v>
      </c>
      <c r="C28" s="85" t="s">
        <v>175</v>
      </c>
      <c r="E28" s="96" t="s">
        <v>176</v>
      </c>
      <c r="F28" s="111">
        <f>MIN((B28*B7/(B8*0.062*SQRT(B5))),(B28*B7/(0.345*B8)),B12/2,600)</f>
        <v>240.40013349208849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180.05576070944011</v>
      </c>
      <c r="C29" s="104" t="s">
        <v>36</v>
      </c>
      <c r="D29" s="104"/>
      <c r="E29" s="105" t="s">
        <v>178</v>
      </c>
      <c r="F29" s="128">
        <f>MIN(B29,F28)</f>
        <v>180.05576070944011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6571245599.999999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63757601.615327805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128.80919494944987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1788808031.6332626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0.6505877715849776</v>
      </c>
      <c r="D38" s="118">
        <f>$B$34/F10</f>
        <v>0.47938046327314138</v>
      </c>
      <c r="E38" s="118">
        <f>B34/F8</f>
        <v>1.8216457604379372</v>
      </c>
      <c r="F38" s="118">
        <f>B34/(F7+0.5*F8)</f>
        <v>0.55201386679937492</v>
      </c>
      <c r="G38" s="119">
        <f>MAX($B$34,($F$7+0.5*$F$8))</f>
        <v>115500000</v>
      </c>
    </row>
    <row r="39" spans="1:7" ht="18" customHeight="1" x14ac:dyDescent="0.45">
      <c r="A39" s="189" t="s">
        <v>193</v>
      </c>
      <c r="B39" s="190"/>
      <c r="C39" s="118">
        <f>C38^3*$B$32+(1-C38^3)*$B$36</f>
        <v>3105751089.938714</v>
      </c>
      <c r="D39" s="118">
        <f>D38^3*$B$32+(1-D38^3)*$B$36</f>
        <v>2315662055.8336062</v>
      </c>
      <c r="E39" s="118">
        <f>$B$32*($B$34/E38)^3+(1-($B$34/E38)^3)*$B$36</f>
        <v>2.0504701074372383E+32</v>
      </c>
      <c r="F39" s="118">
        <f>$B$32*($B$34/F38)^3+(1-($B$34/F38)^3)*$B$36</f>
        <v>7.3687744250972017E+33</v>
      </c>
      <c r="G39" s="119">
        <f>$B$32*($B$34/G38)^3+(1-($B$34/G38)^3)*$B$36</f>
        <v>2593258431.386199</v>
      </c>
    </row>
    <row r="40" spans="1:7" ht="18" customHeight="1" x14ac:dyDescent="0.45">
      <c r="A40" s="189" t="s">
        <v>194</v>
      </c>
      <c r="B40" s="190"/>
      <c r="C40" s="110">
        <f>(5/48)*$F$7*$B$10^2/($F$31*$C$39)</f>
        <v>6.2564184932486926</v>
      </c>
      <c r="D40" s="110">
        <f>(5/48)*$F$10*$B$10^2/($F$31*$C$39)</f>
        <v>8.4908536694089403</v>
      </c>
      <c r="E40" s="110">
        <f>D40-C40</f>
        <v>2.2344351761602477</v>
      </c>
      <c r="F40" s="110">
        <f>(5/48)*(F7+0.5*F8)*$B$10^2/($F$31*$C$39)</f>
        <v>7.373636081328816</v>
      </c>
      <c r="G40" s="112">
        <f>F40-C40</f>
        <v>1.1172175880801234</v>
      </c>
    </row>
    <row r="41" spans="1:7" ht="18" customHeight="1" x14ac:dyDescent="0.45">
      <c r="A41" s="94" t="s">
        <v>195</v>
      </c>
      <c r="B41" s="110">
        <f>E40+(C40*F34)+(G40*F35)</f>
        <v>16.758263821201854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29.166666666666668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Sheet20"/>
  <dimension ref="A1:R51"/>
  <sheetViews>
    <sheetView topLeftCell="A16" zoomScaleNormal="100" zoomScalePageLayoutView="70" workbookViewId="0">
      <selection activeCell="B28" sqref="B28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198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236*10^6</f>
        <v>236000000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114*10^6</f>
        <v>114000000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65*10^6</f>
        <v>65000000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23*10^6</f>
        <v>23000000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188*10^3</f>
        <v>188000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6500</v>
      </c>
      <c r="C10" s="98" t="s">
        <v>36</v>
      </c>
      <c r="E10" s="96" t="s">
        <v>139</v>
      </c>
      <c r="F10" s="99">
        <f>F7+F8</f>
        <v>88000000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1.5905211409913422</v>
      </c>
      <c r="C15" s="110">
        <f>$F$6/($F$11*B8*B12^2)</f>
        <v>0.76830258505513982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4.2140579834910709E-3</v>
      </c>
      <c r="C16" s="114">
        <f>0.85*$B$5/$B$6*(1-SQRT(1-(2*C15/(0.85*$B$5))))</f>
        <v>2.0006136365802313E-3</v>
      </c>
      <c r="E16" s="96" t="s">
        <v>151</v>
      </c>
      <c r="F16" s="110">
        <f>B22*$B$6/(0.85*$B$5*$B$8)</f>
        <v>48.047887643138019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4.2140579834910709E-3</v>
      </c>
      <c r="C18" s="114">
        <f>MAX(C16:C17)</f>
        <v>3.5897435897435893E-3</v>
      </c>
      <c r="E18" s="96" t="s">
        <v>155</v>
      </c>
      <c r="F18" s="115">
        <f>0.003*($B$12-F17)/F17</f>
        <v>3.1072257497750857E-2</v>
      </c>
      <c r="G18" s="116">
        <f>0.003*($B$12-G17)/G17</f>
        <v>4.2429676663667808E-2</v>
      </c>
    </row>
    <row r="19" spans="1:18" ht="18" customHeight="1" x14ac:dyDescent="0.45">
      <c r="A19" s="94" t="s">
        <v>156</v>
      </c>
      <c r="B19" s="110">
        <f>$K$10*B18</f>
        <v>1082.170090160507</v>
      </c>
      <c r="C19" s="117">
        <f>$K$10*C18</f>
        <v>921.8461538461537</v>
      </c>
      <c r="E19" s="96" t="s">
        <v>157</v>
      </c>
      <c r="F19" s="118">
        <f>B22*$B$6*($B$12-F16/2)</f>
        <v>302862929.95679015</v>
      </c>
      <c r="G19" s="119">
        <f>C22*$B$6*($B$12-G16/2)</f>
        <v>229354795.74613041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272576636.96111113</v>
      </c>
      <c r="G20" s="119">
        <f>$F$11*G19</f>
        <v>206419316.17151737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4</v>
      </c>
      <c r="C21" s="95">
        <v>3</v>
      </c>
      <c r="E21" s="96" t="s">
        <v>76</v>
      </c>
      <c r="F21" s="120">
        <f>F20/F5</f>
        <v>1.1549857498352167</v>
      </c>
      <c r="G21" s="121">
        <f>G20/F6</f>
        <v>1.8106957558905032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1256.6370614359173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188000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8664.6802216585202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1229.0407540734548</v>
      </c>
      <c r="C29" s="104" t="s">
        <v>36</v>
      </c>
      <c r="D29" s="104"/>
      <c r="E29" s="105" t="s">
        <v>178</v>
      </c>
      <c r="F29" s="128">
        <f>MIN(B29,F28)</f>
        <v>160.26675566139235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136.09462350734012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2210144915.1727953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1.3166027120446628</v>
      </c>
      <c r="D38" s="118">
        <f>$B$34/F10</f>
        <v>0.97249063957844417</v>
      </c>
      <c r="E38" s="118">
        <f>B34/F8</f>
        <v>3.7208337514305692</v>
      </c>
      <c r="F38" s="118">
        <f>B34/(F7+0.5*F8)</f>
        <v>1.1186820429137658</v>
      </c>
      <c r="G38" s="119">
        <f>MAX($B$34,($F$7+0.5*$F$8))</f>
        <v>85579176.28290309</v>
      </c>
    </row>
    <row r="39" spans="1:7" ht="18" customHeight="1" x14ac:dyDescent="0.45">
      <c r="A39" s="189" t="s">
        <v>193</v>
      </c>
      <c r="B39" s="190"/>
      <c r="C39" s="118">
        <f>C38^3*$B$32+(1-C38^3)*$B$36</f>
        <v>17296228709.428162</v>
      </c>
      <c r="D39" s="118">
        <f>D38^3*$B$32+(1-D38^3)*$B$36</f>
        <v>8289654802.5891228</v>
      </c>
      <c r="E39" s="118">
        <f>$B$32*($B$34/E38)^3+(1-($B$34/E38)^3)*$B$36</f>
        <v>8.0425873720292581E+31</v>
      </c>
      <c r="F39" s="118">
        <f>$B$32*($B$34/F38)^3+(1-($B$34/F38)^3)*$B$36</f>
        <v>2.9593517251736697E+33</v>
      </c>
      <c r="G39" s="119">
        <f>$B$32*($B$34/G38)^3+(1-($B$34/G38)^3)*$B$36</f>
        <v>8820309599.9999981</v>
      </c>
    </row>
    <row r="40" spans="1:7" ht="18" customHeight="1" x14ac:dyDescent="0.45">
      <c r="A40" s="189" t="s">
        <v>194</v>
      </c>
      <c r="B40" s="190"/>
      <c r="C40" s="110">
        <f>(5/48)*$F$7*$B$10^2/($F$31*$C$39)</f>
        <v>0.6424789930514474</v>
      </c>
      <c r="D40" s="110">
        <f>(5/48)*$F$10*$B$10^2/($F$31*$C$39)</f>
        <v>0.86981771366965199</v>
      </c>
      <c r="E40" s="110">
        <f>D40-C40</f>
        <v>0.22733872061820459</v>
      </c>
      <c r="F40" s="110">
        <f>(5/48)*(F7+0.5*F8)*$B$10^2/($F$31*$C$39)</f>
        <v>0.75614835336054953</v>
      </c>
      <c r="G40" s="112">
        <f>F40-C40</f>
        <v>0.11366936030910213</v>
      </c>
    </row>
    <row r="41" spans="1:7" ht="18" customHeight="1" x14ac:dyDescent="0.45">
      <c r="A41" s="94" t="s">
        <v>195</v>
      </c>
      <c r="B41" s="110">
        <f>E40+(C40*F34)+(G40*F35)</f>
        <v>1.7169015552774833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27.083333333333332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Sheet21"/>
  <dimension ref="A1:R51"/>
  <sheetViews>
    <sheetView topLeftCell="A34" zoomScaleNormal="100" zoomScalePageLayoutView="70" workbookViewId="0">
      <selection activeCell="A4" sqref="A4:D4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241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467*10^6</f>
        <v>467000000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269*10^6</f>
        <v>269000000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156*10^6</f>
        <v>156000000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55*10^6</f>
        <v>55000000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289*10^3</f>
        <v>289000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9300</v>
      </c>
      <c r="C10" s="98" t="s">
        <v>36</v>
      </c>
      <c r="E10" s="96" t="s">
        <v>139</v>
      </c>
      <c r="F10" s="99">
        <f>F7+F8</f>
        <v>211000000</v>
      </c>
      <c r="G10" s="97" t="s">
        <v>123</v>
      </c>
      <c r="J10" s="85" t="s">
        <v>140</v>
      </c>
      <c r="K10" s="85">
        <f>B8*B12</f>
        <v>246800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3.4075642380584208</v>
      </c>
      <c r="C15" s="110">
        <f>$F$6/($F$11*B8*B12^2)</f>
        <v>1.9628153748130948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9.4152295654508673E-3</v>
      </c>
      <c r="C16" s="114">
        <f>0.85*$B$5/$B$6*(1-SQRT(1-(2*C15/(0.85*$B$5))))</f>
        <v>5.2430764396385506E-3</v>
      </c>
      <c r="E16" s="96" t="s">
        <v>151</v>
      </c>
      <c r="F16" s="110">
        <f>B22*$B$6/(0.85*$B$5*$B$8)</f>
        <v>96.095775286276037</v>
      </c>
      <c r="G16" s="112">
        <f>C22*$B$6/(0.85*$B$5*$B$8)</f>
        <v>72.071831464707017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113.05385327797181</v>
      </c>
      <c r="G17" s="112">
        <f>G16/G15</f>
        <v>84.790389958478841</v>
      </c>
    </row>
    <row r="18" spans="1:18" ht="18" customHeight="1" x14ac:dyDescent="0.45">
      <c r="A18" s="94" t="s">
        <v>154</v>
      </c>
      <c r="B18" s="113">
        <f>MAX(B16:B17)</f>
        <v>9.4152295654508673E-3</v>
      </c>
      <c r="C18" s="114">
        <f>MAX(C16:C17)</f>
        <v>5.2430764396385506E-3</v>
      </c>
      <c r="E18" s="96" t="s">
        <v>155</v>
      </c>
      <c r="F18" s="115">
        <f>0.003*($B$12-F17)/F17</f>
        <v>1.337272809666065E-2</v>
      </c>
      <c r="G18" s="116">
        <f>0.003*($B$12-G17)/G17</f>
        <v>1.8830304128880874E-2</v>
      </c>
    </row>
    <row r="19" spans="1:18" ht="18" customHeight="1" x14ac:dyDescent="0.45">
      <c r="A19" s="94" t="s">
        <v>156</v>
      </c>
      <c r="B19" s="110">
        <f>$K$10*B18</f>
        <v>2323.678656753274</v>
      </c>
      <c r="C19" s="117">
        <f>$K$10*C18</f>
        <v>1293.9912653027943</v>
      </c>
      <c r="E19" s="96" t="s">
        <v>157</v>
      </c>
      <c r="F19" s="118">
        <f>B22*$B$6*($B$12-F16/2)</f>
        <v>557673722.24451029</v>
      </c>
      <c r="G19" s="119">
        <f>C22*$B$6*($B$12-G16/2)</f>
        <v>427085684.79753381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501906350.02005929</v>
      </c>
      <c r="G20" s="119">
        <f>$F$11*G19</f>
        <v>384377116.31778044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6</v>
      </c>
      <c r="E21" s="96" t="s">
        <v>76</v>
      </c>
      <c r="F21" s="120">
        <f>F20/F5</f>
        <v>1.0747459315204695</v>
      </c>
      <c r="G21" s="121">
        <f>G20/F6</f>
        <v>1.4289112130772508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2513.2741228718346</v>
      </c>
      <c r="C22" s="123">
        <f>C20^2*PI()/4*C21</f>
        <v>1884.9555921538758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172351.85717015062</v>
      </c>
      <c r="C24" s="85" t="s">
        <v>136</v>
      </c>
      <c r="E24" s="96" t="s">
        <v>169</v>
      </c>
      <c r="F24" s="99">
        <f>F9</f>
        <v>289000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86175.928585075308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116648.14282984938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4*B27^2*PI()/4</f>
        <v>201.06192982974676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175.47737383333185</v>
      </c>
      <c r="C29" s="104" t="s">
        <v>36</v>
      </c>
      <c r="D29" s="104"/>
      <c r="E29" s="105" t="s">
        <v>178</v>
      </c>
      <c r="F29" s="128">
        <f>MIN(B29,F28)</f>
        <v>175.47737383333185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7829503766.666666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75965868.936757103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179.07028545898919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3574158510.8920898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0.48696069831254551</v>
      </c>
      <c r="D38" s="118">
        <f>$B$34/F10</f>
        <v>0.36002781486614743</v>
      </c>
      <c r="E38" s="118">
        <f>B34/F8</f>
        <v>1.3811976170319473</v>
      </c>
      <c r="F38" s="118">
        <f>B34/(F7+0.5*F8)</f>
        <v>0.41398293698505234</v>
      </c>
      <c r="G38" s="119">
        <f>MAX($B$34,($F$7+0.5*$F$8))</f>
        <v>183500000</v>
      </c>
    </row>
    <row r="39" spans="1:7" ht="18" customHeight="1" x14ac:dyDescent="0.45">
      <c r="A39" s="189" t="s">
        <v>193</v>
      </c>
      <c r="B39" s="190"/>
      <c r="C39" s="118">
        <f>C38^3*$B$32+(1-C38^3)*$B$36</f>
        <v>4065537448.2206345</v>
      </c>
      <c r="D39" s="118">
        <f>D38^3*$B$32+(1-D38^3)*$B$36</f>
        <v>3772741921.7918596</v>
      </c>
      <c r="E39" s="118">
        <f>$B$32*($B$34/E38)^3+(1-($B$34/E38)^3)*$B$36</f>
        <v>7.0798306692949498E+32</v>
      </c>
      <c r="F39" s="118">
        <f>$B$32*($B$34/F38)^3+(1-($B$34/F38)^3)*$B$36</f>
        <v>2.629317354448663E+34</v>
      </c>
      <c r="G39" s="119">
        <f>$B$32*($B$34/G38)^3+(1-($B$34/G38)^3)*$B$36</f>
        <v>3876071728.1041117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13.42897333141967</v>
      </c>
      <c r="D40" s="110">
        <f>(5/48)*$F$10*$B$10^2/($F$31*$C$39)</f>
        <v>18.163547262368912</v>
      </c>
      <c r="E40" s="110">
        <f>D40-C40</f>
        <v>4.7345739309492423</v>
      </c>
      <c r="F40" s="110">
        <f>(5/48)*(F7+0.5*F8)*$B$10^2/($F$31*$C$39)</f>
        <v>15.796260296894292</v>
      </c>
      <c r="G40" s="112">
        <f>F40-C40</f>
        <v>2.3672869654746229</v>
      </c>
    </row>
    <row r="41" spans="1:7" ht="18" customHeight="1" x14ac:dyDescent="0.45">
      <c r="A41" s="94" t="s">
        <v>195</v>
      </c>
      <c r="B41" s="110">
        <f>E40+(C40*F34)+(G40*F35)</f>
        <v>35.853637131642905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38.75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Sheet22"/>
  <dimension ref="A1:R51"/>
  <sheetViews>
    <sheetView topLeftCell="A16" zoomScaleNormal="100" zoomScalePageLayoutView="70" workbookViewId="0">
      <selection activeCell="A4" sqref="A4:D4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228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586*10^6</f>
        <v>586000000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228*10^6</f>
        <v>228000000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134*10^6</f>
        <v>134000000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46*10^6</f>
        <v>46000000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341*10^3</f>
        <v>341000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99">
        <f>F7+F8</f>
        <v>180000000</v>
      </c>
      <c r="G10" s="97" t="s">
        <v>123</v>
      </c>
      <c r="J10" s="85" t="s">
        <v>140</v>
      </c>
      <c r="K10" s="85">
        <f>B8*B12</f>
        <v>246800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4.2758728982917233</v>
      </c>
      <c r="C15" s="110">
        <f>$F$6/($F$11*B8*B12^2)</f>
        <v>1.6636502061612848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1.2079612912603087E-2</v>
      </c>
      <c r="C16" s="114">
        <f>0.85*$B$5/$B$6*(1-SQRT(1-(2*C15/(0.85*$B$5))))</f>
        <v>4.4148154922073485E-3</v>
      </c>
      <c r="E16" s="96" t="s">
        <v>151</v>
      </c>
      <c r="F16" s="110">
        <f>B22*$B$6/(0.85*$B$5*$B$8)</f>
        <v>120.11971910784504</v>
      </c>
      <c r="G16" s="112">
        <f>C22*$B$6/(0.85*$B$5*$B$8)</f>
        <v>60.059859553922522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141.31731659746475</v>
      </c>
      <c r="G17" s="112">
        <f>G16/G15</f>
        <v>70.658658298732377</v>
      </c>
    </row>
    <row r="18" spans="1:18" ht="18" customHeight="1" x14ac:dyDescent="0.45">
      <c r="A18" s="94" t="s">
        <v>154</v>
      </c>
      <c r="B18" s="113">
        <f>MAX(B16:B17)</f>
        <v>1.2079612912603087E-2</v>
      </c>
      <c r="C18" s="114">
        <f>MAX(C16:C17)</f>
        <v>4.4148154922073485E-3</v>
      </c>
      <c r="E18" s="96" t="s">
        <v>155</v>
      </c>
      <c r="F18" s="115">
        <f>0.003*($B$12-F17)/F17</f>
        <v>1.0098182477328523E-2</v>
      </c>
      <c r="G18" s="116">
        <f>0.003*($B$12-G17)/G17</f>
        <v>2.3196364954657048E-2</v>
      </c>
    </row>
    <row r="19" spans="1:18" ht="18" customHeight="1" x14ac:dyDescent="0.45">
      <c r="A19" s="94" t="s">
        <v>156</v>
      </c>
      <c r="B19" s="110">
        <f>$K$10*B18</f>
        <v>2981.2484668304419</v>
      </c>
      <c r="C19" s="117">
        <f>$K$10*C18</f>
        <v>1089.5764634767736</v>
      </c>
      <c r="E19" s="96" t="s">
        <v>157</v>
      </c>
      <c r="F19" s="118">
        <f>B22*$B$6*($B$12-F16/2)</f>
        <v>682374830.94871938</v>
      </c>
      <c r="G19" s="119">
        <f>C22*$B$6*($B$12-G16/2)</f>
        <v>359584067.79550785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614137347.8538475</v>
      </c>
      <c r="G20" s="119">
        <f>$F$11*G19</f>
        <v>323625661.01595706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5</v>
      </c>
      <c r="E21" s="96" t="s">
        <v>76</v>
      </c>
      <c r="F21" s="120">
        <f>F20/F5</f>
        <v>1.0480159519690231</v>
      </c>
      <c r="G21" s="121">
        <f>G20/F6</f>
        <v>1.4194107939296363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3141.5926535897934</v>
      </c>
      <c r="C22" s="123">
        <f>C20^2*PI()/4*C21</f>
        <v>1570.7963267948967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172351.85717015062</v>
      </c>
      <c r="C24" s="85" t="s">
        <v>136</v>
      </c>
      <c r="E24" s="96" t="s">
        <v>169</v>
      </c>
      <c r="F24" s="99">
        <f>F9</f>
        <v>341000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86175.928585075308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168648.14282984938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251.32741228718345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151.7146099480683</v>
      </c>
      <c r="C29" s="104" t="s">
        <v>36</v>
      </c>
      <c r="D29" s="104"/>
      <c r="E29" s="105" t="s">
        <v>178</v>
      </c>
      <c r="F29" s="128">
        <f>MIN(B29,F28)</f>
        <v>151.7146099480683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7829503766.666666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11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11" ht="18" customHeight="1" x14ac:dyDescent="0.45">
      <c r="A34" s="94" t="s">
        <v>87</v>
      </c>
      <c r="B34" s="118">
        <f>F32*B32/B33</f>
        <v>75965868.936757103</v>
      </c>
      <c r="C34" s="85" t="s">
        <v>123</v>
      </c>
      <c r="E34" s="96" t="s">
        <v>183</v>
      </c>
      <c r="F34" s="99">
        <v>2</v>
      </c>
      <c r="G34" s="97"/>
    </row>
    <row r="35" spans="1:11" ht="18" customHeight="1" x14ac:dyDescent="0.45">
      <c r="A35" s="94" t="s">
        <v>184</v>
      </c>
      <c r="B35" s="110">
        <f>(-F33*C22+SQRT((F33*C22)^2+2*F33*B8*B12*C22))/B8</f>
        <v>165.90668683663478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11" ht="18" customHeight="1" x14ac:dyDescent="0.45">
      <c r="A36" s="94" t="s">
        <v>94</v>
      </c>
      <c r="B36" s="118">
        <f>($B$8*B35^3/3)+($F$33*C22*($B$12-B35)^2)</f>
        <v>3092149457.9688115</v>
      </c>
      <c r="C36" s="85" t="s">
        <v>182</v>
      </c>
      <c r="E36" s="127"/>
      <c r="G36" s="97"/>
    </row>
    <row r="37" spans="1:11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  <c r="I37" s="95">
        <v>20</v>
      </c>
      <c r="J37" s="95">
        <v>28</v>
      </c>
    </row>
    <row r="38" spans="1:11" ht="18" customHeight="1" x14ac:dyDescent="0.45">
      <c r="A38" s="189" t="s">
        <v>192</v>
      </c>
      <c r="B38" s="190"/>
      <c r="C38" s="118">
        <f>B34/F7</f>
        <v>0.56690946967729183</v>
      </c>
      <c r="D38" s="118">
        <f>$B$34/F10</f>
        <v>0.4220326052042061</v>
      </c>
      <c r="E38" s="118">
        <f>B34/F8</f>
        <v>1.6514319334077632</v>
      </c>
      <c r="F38" s="118">
        <f>B34/(F7+0.5*F8)</f>
        <v>0.48385903781373951</v>
      </c>
      <c r="G38" s="119">
        <f>MAX($B$34,($F$7+0.5*$F$8))</f>
        <v>157000000</v>
      </c>
      <c r="I38" s="95">
        <v>1</v>
      </c>
      <c r="J38" s="95">
        <v>1</v>
      </c>
    </row>
    <row r="39" spans="1:11" ht="18" customHeight="1" x14ac:dyDescent="0.45">
      <c r="A39" s="189" t="s">
        <v>193</v>
      </c>
      <c r="B39" s="190"/>
      <c r="C39" s="118">
        <f>C38^3*$B$32+(1-C38^3)*$B$36</f>
        <v>3955281027.7125006</v>
      </c>
      <c r="D39" s="118">
        <f>D38^3*$B$32+(1-D38^3)*$B$36</f>
        <v>3448251022.1811862</v>
      </c>
      <c r="E39" s="118">
        <f>$B$32*($B$34/E38)^3+(1-($B$34/E38)^3)*$B$36</f>
        <v>4.6111511899141438E+32</v>
      </c>
      <c r="F39" s="118">
        <f>$B$32*($B$34/F38)^3+(1-($B$34/F38)^3)*$B$36</f>
        <v>1.8333054277749665E+34</v>
      </c>
      <c r="G39" s="119">
        <f>$B$32*($B$34/G38)^3+(1-($B$34/G38)^3)*$B$36</f>
        <v>3628801071.4595637</v>
      </c>
      <c r="I39" s="122">
        <f>I37^2*PI()/4*I38</f>
        <v>314.15926535897933</v>
      </c>
      <c r="J39" s="123">
        <f>J37^2*PI()/4*J38</f>
        <v>615.75216010359941</v>
      </c>
      <c r="K39" s="85">
        <f>I39/J39</f>
        <v>0.51020408163265307</v>
      </c>
    </row>
    <row r="40" spans="1:11" ht="18" customHeight="1" x14ac:dyDescent="0.45">
      <c r="A40" s="189" t="s">
        <v>194</v>
      </c>
      <c r="B40" s="190"/>
      <c r="C40" s="110">
        <f>(5/48)*$F$7*$B$10^2/($F$31*$C$39)</f>
        <v>11.104084366637615</v>
      </c>
      <c r="D40" s="110">
        <f>(5/48)*$F$10*$B$10^2/($F$31*$C$39)</f>
        <v>14.915934223841573</v>
      </c>
      <c r="E40" s="110">
        <f>D40-C40</f>
        <v>3.8118498572039581</v>
      </c>
      <c r="F40" s="110">
        <f>(5/48)*(F7+0.5*F8)*$B$10^2/($F$31*$C$39)</f>
        <v>13.010009295239595</v>
      </c>
      <c r="G40" s="112">
        <f>F40-C40</f>
        <v>1.9059249286019799</v>
      </c>
    </row>
    <row r="41" spans="1:11" ht="18" customHeight="1" x14ac:dyDescent="0.45">
      <c r="A41" s="94" t="s">
        <v>195</v>
      </c>
      <c r="B41" s="110">
        <f>E40+(C40*F34)+(G40*F35)</f>
        <v>29.450683461962754</v>
      </c>
      <c r="C41" s="85" t="s">
        <v>36</v>
      </c>
      <c r="D41" s="191" t="str">
        <f>IF(B42&gt;B41,"OK","NO")</f>
        <v>OK</v>
      </c>
      <c r="G41" s="97"/>
    </row>
    <row r="42" spans="1:11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11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 codeName="Sheet23"/>
  <dimension ref="A1:R51"/>
  <sheetViews>
    <sheetView view="pageLayout" topLeftCell="B15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199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973*10^6</f>
        <v>973000000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560*10^6</f>
        <v>560000000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305*10^6</f>
        <v>305000000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129*10^6</f>
        <v>129000000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464*10^3</f>
        <v>464000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10150</v>
      </c>
      <c r="C10" s="98" t="s">
        <v>36</v>
      </c>
      <c r="E10" s="96" t="s">
        <v>139</v>
      </c>
      <c r="F10" s="99">
        <f>F7+F8</f>
        <v>434000000</v>
      </c>
      <c r="G10" s="97" t="s">
        <v>123</v>
      </c>
      <c r="J10" s="85" t="s">
        <v>140</v>
      </c>
      <c r="K10" s="85">
        <f>B8*B12</f>
        <v>360600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4.9885018365172078</v>
      </c>
      <c r="C15" s="110">
        <f>$F$6/($F$11*B8*B12^2)</f>
        <v>2.8710801936789685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1.437015930231526E-2</v>
      </c>
      <c r="C16" s="114">
        <f>0.85*$B$5/$B$6*(1-SQRT(1-(2*C15/(0.85*$B$5))))</f>
        <v>7.8306553323189681E-3</v>
      </c>
      <c r="E16" s="96" t="s">
        <v>151</v>
      </c>
      <c r="F16" s="110">
        <f>B22*$B$6/(0.85*$B$5*$B$8)</f>
        <v>156.95643296758416</v>
      </c>
      <c r="G16" s="112">
        <f>C22*$B$6/(0.85*$B$5*$B$8)</f>
        <v>156.95643296758416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184.65462702068726</v>
      </c>
      <c r="G17" s="112">
        <f>G16/G15</f>
        <v>184.65462702068726</v>
      </c>
    </row>
    <row r="18" spans="1:18" ht="18" customHeight="1" x14ac:dyDescent="0.45">
      <c r="A18" s="94" t="s">
        <v>154</v>
      </c>
      <c r="B18" s="113">
        <f>MAX(B16:B17)</f>
        <v>1.437015930231526E-2</v>
      </c>
      <c r="C18" s="114">
        <f>MAX(C16:C17)</f>
        <v>7.8306553323189681E-3</v>
      </c>
      <c r="E18" s="96" t="s">
        <v>155</v>
      </c>
      <c r="F18" s="115">
        <f>0.003*($B$12-F17)/F17</f>
        <v>6.7641744974958357E-3</v>
      </c>
      <c r="G18" s="116">
        <f>0.003*($B$12-G17)/G17</f>
        <v>6.7641744974958357E-3</v>
      </c>
    </row>
    <row r="19" spans="1:18" ht="18" customHeight="1" x14ac:dyDescent="0.45">
      <c r="A19" s="94" t="s">
        <v>156</v>
      </c>
      <c r="B19" s="110">
        <f>$K$10*B18</f>
        <v>5181.8794444148825</v>
      </c>
      <c r="C19" s="117">
        <f>$K$10*C18</f>
        <v>2823.73431283422</v>
      </c>
      <c r="E19" s="96" t="s">
        <v>157</v>
      </c>
      <c r="F19" s="118">
        <f>B22*$B$6*($B$12-F16/2)</f>
        <v>1254801275.9150326</v>
      </c>
      <c r="G19" s="119">
        <f>C22*$B$6*($B$12-G16/2)</f>
        <v>1254801275.9150326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1129321148.3235295</v>
      </c>
      <c r="G20" s="119">
        <f>$F$11*G19</f>
        <v>1129321148.3235295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10</v>
      </c>
      <c r="E21" s="96" t="s">
        <v>76</v>
      </c>
      <c r="F21" s="120">
        <f>F20/F5</f>
        <v>1.1606589396953026</v>
      </c>
      <c r="G21" s="121">
        <f>G20/F6</f>
        <v>2.0166449077205884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6157.5216010359945</v>
      </c>
      <c r="C22" s="123">
        <f>C20^2*PI()/4*C21</f>
        <v>6157.5216010359945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251823.66165136269</v>
      </c>
      <c r="C24" s="85" t="s">
        <v>136</v>
      </c>
      <c r="E24" s="96" t="s">
        <v>169</v>
      </c>
      <c r="F24" s="99">
        <f>F9</f>
        <v>464000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125911.83082568135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212176.33834863731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392.69908169872411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325.35933957956496</v>
      </c>
      <c r="C29" s="104" t="s">
        <v>36</v>
      </c>
      <c r="D29" s="104"/>
      <c r="E29" s="105" t="s">
        <v>178</v>
      </c>
      <c r="F29" s="128">
        <f>MIN(B29,F28)</f>
        <v>300.5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10854090050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105311959.31937066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239.94627609508592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8999159180.0472755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0.34528511252252675</v>
      </c>
      <c r="D38" s="118">
        <f>$B$34/F10</f>
        <v>0.24265428414601534</v>
      </c>
      <c r="E38" s="118">
        <f>B34/F8</f>
        <v>0.81637177766953994</v>
      </c>
      <c r="F38" s="118">
        <f>B34/(F7+0.5*F8)</f>
        <v>0.28501206852333061</v>
      </c>
      <c r="G38" s="119">
        <f>MAX($B$34,($F$7+0.5*$F$8))</f>
        <v>369500000</v>
      </c>
    </row>
    <row r="39" spans="1:7" ht="18" customHeight="1" x14ac:dyDescent="0.45">
      <c r="A39" s="189" t="s">
        <v>193</v>
      </c>
      <c r="B39" s="190"/>
      <c r="C39" s="118">
        <f>C38^3*$B$32+(1-C38^3)*$B$36</f>
        <v>9075518365.9179287</v>
      </c>
      <c r="D39" s="118">
        <f>D38^3*$B$32+(1-D38^3)*$B$36</f>
        <v>9025661971.4817982</v>
      </c>
      <c r="E39" s="118">
        <f>$B$32*($B$34/E38)^3+(1-($B$34/E38)^3)*$B$36</f>
        <v>3.981959694287945E+33</v>
      </c>
      <c r="F39" s="118">
        <f>$B$32*($B$34/F38)^3+(1-($B$34/F38)^3)*$B$36</f>
        <v>9.3577417813020567E+34</v>
      </c>
      <c r="G39" s="119">
        <f>$B$32*($B$34/G38)^3+(1-($B$34/G38)^3)*$B$36</f>
        <v>9042104661.8290901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14.009762259073478</v>
      </c>
      <c r="D40" s="110">
        <f>(5/48)*$F$10*$B$10^2/($F$31*$C$39)</f>
        <v>19.935202689960295</v>
      </c>
      <c r="E40" s="110">
        <f>D40-C40</f>
        <v>5.9254404308868178</v>
      </c>
      <c r="F40" s="110">
        <f>(5/48)*(F7+0.5*F8)*$B$10^2/($F$31*$C$39)</f>
        <v>16.972482474516884</v>
      </c>
      <c r="G40" s="112">
        <f>F40-C40</f>
        <v>2.9627202154434062</v>
      </c>
    </row>
    <row r="41" spans="1:7" ht="18" customHeight="1" x14ac:dyDescent="0.45">
      <c r="A41" s="94" t="s">
        <v>195</v>
      </c>
      <c r="B41" s="110">
        <f>E40+(C40*F34)+(G40*F35)</f>
        <v>39.277861336831904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42.291666666666664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 codeName="Sheet24"/>
  <dimension ref="A1:R51"/>
  <sheetViews>
    <sheetView view="pageLayout" topLeftCell="A16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232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817*10^6</f>
        <v>817000000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486*10^6</f>
        <v>486000000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278*10^6</f>
        <v>278000000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103*10^6</f>
        <v>103000000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473*10^3</f>
        <v>473000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99">
        <f>F7+F8</f>
        <v>381000000</v>
      </c>
      <c r="G10" s="97" t="s">
        <v>123</v>
      </c>
      <c r="J10" s="85" t="s">
        <v>140</v>
      </c>
      <c r="K10" s="85">
        <f>B8*B12</f>
        <v>360600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4.1887009254209238</v>
      </c>
      <c r="C15" s="110">
        <f>$F$6/($F$11*B8*B12^2)</f>
        <v>2.4916874537999618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1.1806144431613905E-2</v>
      </c>
      <c r="C16" s="114">
        <f>0.85*$B$5/$B$6*(1-SQRT(1-(2*C15/(0.85*$B$5))))</f>
        <v>6.7359080375706207E-3</v>
      </c>
      <c r="E16" s="96" t="s">
        <v>151</v>
      </c>
      <c r="F16" s="110">
        <f>B22*$B$6/(0.85*$B$5*$B$8)</f>
        <v>125.56514637406733</v>
      </c>
      <c r="G16" s="112">
        <f>C22*$B$6/(0.85*$B$5*$B$8)</f>
        <v>109.86950307730891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147.72370161654979</v>
      </c>
      <c r="G17" s="112">
        <f>G16/G15</f>
        <v>129.25823891448107</v>
      </c>
    </row>
    <row r="18" spans="1:18" ht="18" customHeight="1" x14ac:dyDescent="0.45">
      <c r="A18" s="94" t="s">
        <v>154</v>
      </c>
      <c r="B18" s="113">
        <f>MAX(B16:B17)</f>
        <v>1.1806144431613905E-2</v>
      </c>
      <c r="C18" s="114">
        <f>MAX(C16:C17)</f>
        <v>6.7359080375706207E-3</v>
      </c>
      <c r="E18" s="96" t="s">
        <v>155</v>
      </c>
      <c r="F18" s="115">
        <f>0.003*($B$12-F17)/F17</f>
        <v>9.2052181218697966E-3</v>
      </c>
      <c r="G18" s="116">
        <f>0.003*($B$12-G17)/G17</f>
        <v>1.0948820710708339E-2</v>
      </c>
    </row>
    <row r="19" spans="1:18" ht="18" customHeight="1" x14ac:dyDescent="0.45">
      <c r="A19" s="94" t="s">
        <v>156</v>
      </c>
      <c r="B19" s="110">
        <f>$K$10*B18</f>
        <v>4257.2956820399741</v>
      </c>
      <c r="C19" s="117">
        <f>$K$10*C18</f>
        <v>2428.9684383479657</v>
      </c>
      <c r="E19" s="96" t="s">
        <v>157</v>
      </c>
      <c r="F19" s="118">
        <f>B22*$B$6*($B$12-F16/2)</f>
        <v>1033994654.676313</v>
      </c>
      <c r="G19" s="119">
        <f>C22*$B$6*($B$12-G16/2)</f>
        <v>917937537.69239938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930595189.2086817</v>
      </c>
      <c r="G20" s="119">
        <f>$F$11*G19</f>
        <v>826143783.92315948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7</v>
      </c>
      <c r="E21" s="96" t="s">
        <v>76</v>
      </c>
      <c r="F21" s="120">
        <f>F20/F5</f>
        <v>1.1390393992762322</v>
      </c>
      <c r="G21" s="121">
        <f>G20/F6</f>
        <v>1.699884329059999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4926.0172808287953</v>
      </c>
      <c r="C22" s="123">
        <f>C20^2*PI()/4*C21</f>
        <v>4310.2651207251956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251823.66165136269</v>
      </c>
      <c r="C24" s="85" t="s">
        <v>136</v>
      </c>
      <c r="E24" s="96" t="s">
        <v>169</v>
      </c>
      <c r="F24" s="99">
        <f>F9</f>
        <v>473000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125911.83082568135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221176.33834863731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4*B27^2*PI()/4</f>
        <v>314.15926535897933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249.69598044690045</v>
      </c>
      <c r="C29" s="104" t="s">
        <v>36</v>
      </c>
      <c r="D29" s="104"/>
      <c r="E29" s="105" t="s">
        <v>178</v>
      </c>
      <c r="F29" s="128">
        <f>MIN(B29,F28)</f>
        <v>249.69598044690045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10854090050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105311959.31937066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209.1420843224941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6971600100.027873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0.37881999755169299</v>
      </c>
      <c r="D38" s="118">
        <f>$B$34/F10</f>
        <v>0.27640934204559225</v>
      </c>
      <c r="E38" s="118">
        <f>B34/F8</f>
        <v>1.0224462069841811</v>
      </c>
      <c r="F38" s="118">
        <f>B34/(F7+0.5*F8)</f>
        <v>0.31961140916349212</v>
      </c>
      <c r="G38" s="119">
        <f>MAX($B$34,($F$7+0.5*$F$8))</f>
        <v>329500000</v>
      </c>
    </row>
    <row r="39" spans="1:7" ht="18" customHeight="1" x14ac:dyDescent="0.45">
      <c r="A39" s="189" t="s">
        <v>193</v>
      </c>
      <c r="B39" s="190"/>
      <c r="C39" s="118">
        <f>C38^3*$B$32+(1-C38^3)*$B$36</f>
        <v>7182661605.2248278</v>
      </c>
      <c r="D39" s="118">
        <f>D38^3*$B$32+(1-D38^3)*$B$36</f>
        <v>7053591535.841794</v>
      </c>
      <c r="E39" s="118">
        <f>$B$32*($B$34/E38)^3+(1-($B$34/E38)^3)*$B$36</f>
        <v>4.2425015955631928E+33</v>
      </c>
      <c r="F39" s="118">
        <f>$B$32*($B$34/F38)^3+(1-($B$34/F38)^3)*$B$36</f>
        <v>1.3889179702977177E+35</v>
      </c>
      <c r="G39" s="119">
        <f>$B$32*($B$34/G38)^3+(1-($B$34/G38)^3)*$B$36</f>
        <v>7098358620.65172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12.685707409093952</v>
      </c>
      <c r="D40" s="110">
        <f>(5/48)*$F$10*$B$10^2/($F$31*$C$39)</f>
        <v>17.385807636204301</v>
      </c>
      <c r="E40" s="110">
        <f>D40-C40</f>
        <v>4.7001002271103491</v>
      </c>
      <c r="F40" s="110">
        <f>(5/48)*(F7+0.5*F8)*$B$10^2/($F$31*$C$39)</f>
        <v>15.03575752264913</v>
      </c>
      <c r="G40" s="112">
        <f>F40-C40</f>
        <v>2.3500501135551772</v>
      </c>
    </row>
    <row r="41" spans="1:7" ht="18" customHeight="1" x14ac:dyDescent="0.45">
      <c r="A41" s="94" t="s">
        <v>195</v>
      </c>
      <c r="B41" s="110">
        <f>E40+(C40*F34)+(G40*F35)</f>
        <v>34.301605249697573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 codeName="Sheet25"/>
  <dimension ref="A1:R51"/>
  <sheetViews>
    <sheetView view="pageLayout" topLeftCell="A13" zoomScale="85" zoomScaleNormal="100" zoomScalePageLayoutView="85" workbookViewId="0">
      <selection activeCell="B28" sqref="B28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1288*10^6</f>
        <v>1288000000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1050*10^6</f>
        <v>1050000000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724*10^6</f>
        <v>724000000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114*10^6</f>
        <v>114000000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661*10^3</f>
        <v>661000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6200</v>
      </c>
      <c r="C10" s="98" t="s">
        <v>36</v>
      </c>
      <c r="E10" s="96" t="s">
        <v>139</v>
      </c>
      <c r="F10" s="99">
        <f>F7+F8</f>
        <v>838000000</v>
      </c>
      <c r="G10" s="97" t="s">
        <v>123</v>
      </c>
      <c r="J10" s="85" t="s">
        <v>140</v>
      </c>
      <c r="K10" s="85">
        <f>B8*B12</f>
        <v>480800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4.9526133340962204</v>
      </c>
      <c r="C15" s="110">
        <f>$F$6/($F$11*B8*B12^2)</f>
        <v>4.0374565223610492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1.4252352091132205E-2</v>
      </c>
      <c r="C16" s="114">
        <f>0.85*$B$5/$B$6*(1-SQRT(1-(2*C15/(0.85*$B$5))))</f>
        <v>1.1334956152445824E-2</v>
      </c>
      <c r="E16" s="96" t="s">
        <v>151</v>
      </c>
      <c r="F16" s="110">
        <f>B22*$B$6/(0.85*$B$5*$B$8)</f>
        <v>141.26078967082574</v>
      </c>
      <c r="G16" s="112">
        <f>C22*$B$6/(0.85*$B$5*$B$8)</f>
        <v>141.26078967082574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166.18916431861854</v>
      </c>
      <c r="G17" s="112">
        <f>G16/G15</f>
        <v>166.18916431861854</v>
      </c>
    </row>
    <row r="18" spans="1:18" ht="18" customHeight="1" x14ac:dyDescent="0.45">
      <c r="A18" s="94" t="s">
        <v>154</v>
      </c>
      <c r="B18" s="113">
        <f>MAX(B16:B17)</f>
        <v>1.4252352091132205E-2</v>
      </c>
      <c r="C18" s="114">
        <f>MAX(C16:C17)</f>
        <v>1.1334956152445824E-2</v>
      </c>
      <c r="E18" s="96" t="s">
        <v>155</v>
      </c>
      <c r="F18" s="115">
        <f>0.003*($B$12-F17)/F17</f>
        <v>7.8490827749953737E-3</v>
      </c>
      <c r="G18" s="116">
        <f>0.003*($B$12-G17)/G17</f>
        <v>7.8490827749953737E-3</v>
      </c>
    </row>
    <row r="19" spans="1:18" ht="18" customHeight="1" x14ac:dyDescent="0.45">
      <c r="A19" s="94" t="s">
        <v>156</v>
      </c>
      <c r="B19" s="110">
        <f>$K$10*B18</f>
        <v>6852.5308854163641</v>
      </c>
      <c r="C19" s="117">
        <f>$K$10*C18</f>
        <v>5449.8469180959519</v>
      </c>
      <c r="E19" s="96" t="s">
        <v>157</v>
      </c>
      <c r="F19" s="118">
        <f>B22*$B$6*($B$12-F16/2)</f>
        <v>1528376756.5562541</v>
      </c>
      <c r="G19" s="119">
        <f>C22*$B$6*($B$12-G16/2)</f>
        <v>1528376756.5562541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1375539080.9006288</v>
      </c>
      <c r="G20" s="119">
        <f>$F$11*G19</f>
        <v>1375539080.9006288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12</v>
      </c>
      <c r="C21" s="95">
        <v>12</v>
      </c>
      <c r="E21" s="96" t="s">
        <v>76</v>
      </c>
      <c r="F21" s="120">
        <f>F20/F5</f>
        <v>1.0679651249228483</v>
      </c>
      <c r="G21" s="121">
        <f>G20/F6</f>
        <v>1.3100372199053607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7389.0259212431929</v>
      </c>
      <c r="C22" s="123">
        <f>C20^2*PI()/4*C21</f>
        <v>7389.0259212431929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335764.88220181694</v>
      </c>
      <c r="C24" s="85" t="s">
        <v>136</v>
      </c>
      <c r="E24" s="96" t="s">
        <v>169</v>
      </c>
      <c r="F24" s="99">
        <f>F9</f>
        <v>661000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167882.44110090847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325235.11779818306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6*B27^2*PI()/4</f>
        <v>471.23889803846896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254.70885353417498</v>
      </c>
      <c r="C29" s="104" t="s">
        <v>36</v>
      </c>
      <c r="D29" s="104"/>
      <c r="E29" s="105" t="s">
        <v>178</v>
      </c>
      <c r="F29" s="128">
        <f>MIN(B29,F28)</f>
        <v>254.70885353417498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14472120066.666664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140415945.75916088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230.56985051830267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11145899811.283653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0.1939446764629294</v>
      </c>
      <c r="D38" s="118">
        <f>$B$34/F10</f>
        <v>0.16756079446200581</v>
      </c>
      <c r="E38" s="118">
        <f>B34/F8</f>
        <v>1.2317188224487796</v>
      </c>
      <c r="F38" s="118">
        <f>B34/(F7+0.5*F8)</f>
        <v>0.17978994335359907</v>
      </c>
      <c r="G38" s="119">
        <f>MAX($B$34,($F$7+0.5*$F$8))</f>
        <v>781000000</v>
      </c>
    </row>
    <row r="39" spans="1:7" ht="18" customHeight="1" x14ac:dyDescent="0.45">
      <c r="A39" s="189" t="s">
        <v>193</v>
      </c>
      <c r="B39" s="190"/>
      <c r="C39" s="118">
        <f>C38^3*$B$32+(1-C38^3)*$B$36</f>
        <v>11170165051.426512</v>
      </c>
      <c r="D39" s="118">
        <f>D38^3*$B$32+(1-D38^3)*$B$36</f>
        <v>11161548149.939819</v>
      </c>
      <c r="E39" s="118">
        <f>$B$32*($B$34/E38)^3+(1-($B$34/E38)^3)*$B$36</f>
        <v>4.9279416620411686E+33</v>
      </c>
      <c r="F39" s="118">
        <f>$B$32*($B$34/F38)^3+(1-($B$34/F38)^3)*$B$36</f>
        <v>1.5845432785242616E+36</v>
      </c>
      <c r="G39" s="119">
        <f>$B$32*($B$34/G38)^3+(1-($B$34/G38)^3)*$B$36</f>
        <v>11165230493.913445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10.081673686435781</v>
      </c>
      <c r="D40" s="110">
        <f>(5/48)*$F$10*$B$10^2/($F$31*$C$39)</f>
        <v>11.669119543139757</v>
      </c>
      <c r="E40" s="110">
        <f>D40-C40</f>
        <v>1.587445856703976</v>
      </c>
      <c r="F40" s="110">
        <f>(5/48)*(F7+0.5*F8)*$B$10^2/($F$31*$C$39)</f>
        <v>10.875396614787769</v>
      </c>
      <c r="G40" s="112">
        <f>F40-C40</f>
        <v>0.79372292835198799</v>
      </c>
    </row>
    <row r="41" spans="1:7" ht="18" customHeight="1" x14ac:dyDescent="0.45">
      <c r="A41" s="94" t="s">
        <v>195</v>
      </c>
      <c r="B41" s="110">
        <f>E40+(C40*F34)+(G40*F35)</f>
        <v>23.179494500609117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25.833333333333332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 codeName="Sheet57"/>
  <dimension ref="A1:R51"/>
  <sheetViews>
    <sheetView view="pageLayout" topLeftCell="A9" zoomScale="85" zoomScaleNormal="100" zoomScalePageLayoutView="85" workbookViewId="0">
      <selection activeCell="B28" sqref="B28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960*10^6</f>
        <v>960000000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612*10^6</f>
        <v>612000000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422*10^6</f>
        <v>422000000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66*10^6</f>
        <v>66000000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599*10^3</f>
        <v>599000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8500</v>
      </c>
      <c r="C10" s="98" t="s">
        <v>36</v>
      </c>
      <c r="E10" s="96" t="s">
        <v>139</v>
      </c>
      <c r="F10" s="99">
        <f>F7+F8</f>
        <v>488000000</v>
      </c>
      <c r="G10" s="97" t="s">
        <v>123</v>
      </c>
      <c r="J10" s="85" t="s">
        <v>140</v>
      </c>
      <c r="K10" s="85">
        <f>B8*B12</f>
        <v>480800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3.6913888204443879</v>
      </c>
      <c r="C15" s="110">
        <f>$F$6/($F$11*B8*B12^2)</f>
        <v>2.3532603730332973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1.0271965810799207E-2</v>
      </c>
      <c r="C16" s="114">
        <f>0.85*$B$5/$B$6*(1-SQRT(1-(2*C15/(0.85*$B$5))))</f>
        <v>6.3415271739505705E-3</v>
      </c>
      <c r="E16" s="96" t="s">
        <v>151</v>
      </c>
      <c r="F16" s="110">
        <f>B22*$B$6/(0.85*$B$5*$B$8)</f>
        <v>105.94559225311932</v>
      </c>
      <c r="G16" s="112">
        <f>C22*$B$6/(0.85*$B$5*$B$8)</f>
        <v>94.173859780550501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124.64187323896391</v>
      </c>
      <c r="G17" s="112">
        <f>G16/G15</f>
        <v>110.79277621241236</v>
      </c>
    </row>
    <row r="18" spans="1:18" ht="18" customHeight="1" x14ac:dyDescent="0.45">
      <c r="A18" s="94" t="s">
        <v>154</v>
      </c>
      <c r="B18" s="113">
        <f>MAX(B16:B17)</f>
        <v>1.0271965810799207E-2</v>
      </c>
      <c r="C18" s="114">
        <f>MAX(C16:C17)</f>
        <v>6.3415271739505705E-3</v>
      </c>
      <c r="E18" s="96" t="s">
        <v>155</v>
      </c>
      <c r="F18" s="115">
        <f>0.003*($B$12-F17)/F17</f>
        <v>1.1465443699993829E-2</v>
      </c>
      <c r="G18" s="116">
        <f>0.003*($B$12-G17)/G17</f>
        <v>1.3273624162493058E-2</v>
      </c>
    </row>
    <row r="19" spans="1:18" ht="18" customHeight="1" x14ac:dyDescent="0.45">
      <c r="A19" s="94" t="s">
        <v>156</v>
      </c>
      <c r="B19" s="110">
        <f>$K$10*B18</f>
        <v>4938.761161832258</v>
      </c>
      <c r="C19" s="117">
        <f>$K$10*C18</f>
        <v>3049.0062652354345</v>
      </c>
      <c r="E19" s="96" t="s">
        <v>157</v>
      </c>
      <c r="F19" s="118">
        <f>B22*$B$6*($B$12-F16/2)</f>
        <v>1184445760.3779292</v>
      </c>
      <c r="G19" s="119">
        <f>C22*$B$6*($B$12-G16/2)</f>
        <v>1064148288.6206002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1066001184.3401363</v>
      </c>
      <c r="G20" s="119">
        <f>$F$11*G19</f>
        <v>957733459.75854027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9</v>
      </c>
      <c r="C21" s="95">
        <v>8</v>
      </c>
      <c r="E21" s="96" t="s">
        <v>76</v>
      </c>
      <c r="F21" s="120">
        <f>F20/F5</f>
        <v>1.1104179003543087</v>
      </c>
      <c r="G21" s="121">
        <f>G20/F6</f>
        <v>1.564923953853824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5541.7694409323949</v>
      </c>
      <c r="C22" s="123">
        <f>C20^2*PI()/4*C21</f>
        <v>4926.0172808287953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335764.88220181694</v>
      </c>
      <c r="C24" s="85" t="s">
        <v>136</v>
      </c>
      <c r="E24" s="96" t="s">
        <v>169</v>
      </c>
      <c r="F24" s="99">
        <f>F9</f>
        <v>599000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167882.44110090847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263235.11779818306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392.69908169872411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262.2505458122406</v>
      </c>
      <c r="C29" s="104" t="s">
        <v>36</v>
      </c>
      <c r="D29" s="104"/>
      <c r="E29" s="105" t="s">
        <v>178</v>
      </c>
      <c r="F29" s="128">
        <f>MIN(B29,F28)</f>
        <v>262.2505458122406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14472120066.666664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140415945.75916088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196.68223581051231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8285151837.8005171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0.33273920796009687</v>
      </c>
      <c r="D38" s="118">
        <f>$B$34/F10</f>
        <v>0.28773759376877228</v>
      </c>
      <c r="E38" s="118">
        <f>B34/F8</f>
        <v>2.1275143296842556</v>
      </c>
      <c r="F38" s="118">
        <f>B34/(F7+0.5*F8)</f>
        <v>0.30860647419595799</v>
      </c>
      <c r="G38" s="119">
        <f>MAX($B$34,($F$7+0.5*$F$8))</f>
        <v>455000000</v>
      </c>
    </row>
    <row r="39" spans="1:7" ht="18" customHeight="1" x14ac:dyDescent="0.45">
      <c r="A39" s="189" t="s">
        <v>193</v>
      </c>
      <c r="B39" s="190"/>
      <c r="C39" s="118">
        <f>C38^3*$B$32+(1-C38^3)*$B$36</f>
        <v>8513075713.5798244</v>
      </c>
      <c r="D39" s="118">
        <f>D38^3*$B$32+(1-D38^3)*$B$36</f>
        <v>8432541732.378931</v>
      </c>
      <c r="E39" s="118">
        <f>$B$32*($B$34/E38)^3+(1-($B$34/E38)^3)*$B$36</f>
        <v>1.7787286179261025E+33</v>
      </c>
      <c r="F39" s="118">
        <f>$B$32*($B$34/F38)^3+(1-($B$34/F38)^3)*$B$36</f>
        <v>5.8278997939936132E+35</v>
      </c>
      <c r="G39" s="119">
        <f>$B$32*($B$34/G38)^3+(1-($B$34/G38)^3)*$B$36</f>
        <v>8466993329.0318632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14.492192299027902</v>
      </c>
      <c r="D40" s="110">
        <f>(5/48)*$F$10*$B$10^2/($F$31*$C$39)</f>
        <v>16.758743701245535</v>
      </c>
      <c r="E40" s="110">
        <f>D40-C40</f>
        <v>2.2665514022176332</v>
      </c>
      <c r="F40" s="110">
        <f>(5/48)*(F7+0.5*F8)*$B$10^2/($F$31*$C$39)</f>
        <v>15.625468000136721</v>
      </c>
      <c r="G40" s="112">
        <f>F40-C40</f>
        <v>1.1332757011088184</v>
      </c>
    </row>
    <row r="41" spans="1:7" ht="18" customHeight="1" x14ac:dyDescent="0.45">
      <c r="A41" s="94" t="s">
        <v>195</v>
      </c>
      <c r="B41" s="110">
        <f>E40+(C40*F34)+(G40*F35)</f>
        <v>33.290832262269312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35.416666666666664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Sheet26"/>
  <dimension ref="A1:R51"/>
  <sheetViews>
    <sheetView view="pageLayout" topLeftCell="B19" zoomScaleNormal="100" workbookViewId="0">
      <selection activeCell="B12" sqref="B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206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222*10^6</f>
        <v>222000000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136*10^6</f>
        <v>136000000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85*10^6</f>
        <v>85000000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250</v>
      </c>
      <c r="C8" s="98" t="s">
        <v>36</v>
      </c>
      <c r="E8" s="96" t="s">
        <v>132</v>
      </c>
      <c r="F8" s="95">
        <f>33*10^6</f>
        <v>33000000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114*10^3</f>
        <v>114000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f>4050+1640+2310</f>
        <v>8000</v>
      </c>
      <c r="C10" s="98" t="s">
        <v>36</v>
      </c>
      <c r="E10" s="96" t="s">
        <v>139</v>
      </c>
      <c r="F10" s="99">
        <f>F7+F8</f>
        <v>118000000</v>
      </c>
      <c r="G10" s="97" t="s">
        <v>123</v>
      </c>
      <c r="J10" s="85" t="s">
        <v>140</v>
      </c>
      <c r="K10" s="85">
        <f>B8*B12</f>
        <v>160500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2.3938691071191727</v>
      </c>
      <c r="C15" s="110">
        <f>$F$6/($F$11*B8*B12^2)</f>
        <v>1.4665144079648986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6.4569484985541568E-3</v>
      </c>
      <c r="C16" s="114">
        <f>0.85*$B$5/$B$6*(1-SQRT(1-(2*C15/(0.85*$B$5))))</f>
        <v>3.8751262007769281E-3</v>
      </c>
      <c r="E16" s="96" t="s">
        <v>151</v>
      </c>
      <c r="F16" s="110">
        <f>B22*$B$6/(0.85*$B$5*$B$8)</f>
        <v>76.87662022902083</v>
      </c>
      <c r="G16" s="112">
        <f>C22*$B$6/(0.85*$B$5*$B$8)</f>
        <v>38.438310114510415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90.443082622377446</v>
      </c>
      <c r="G17" s="112">
        <f>G16/G15</f>
        <v>45.221541311188723</v>
      </c>
    </row>
    <row r="18" spans="1:18" ht="18" customHeight="1" x14ac:dyDescent="0.45">
      <c r="A18" s="94" t="s">
        <v>154</v>
      </c>
      <c r="B18" s="113">
        <f>MAX(B16:B17)</f>
        <v>6.4569484985541568E-3</v>
      </c>
      <c r="C18" s="114">
        <f>MAX(C16:C17)</f>
        <v>3.8751262007769281E-3</v>
      </c>
      <c r="E18" s="96" t="s">
        <v>155</v>
      </c>
      <c r="F18" s="115">
        <f>0.003*($B$12-F17)/F17</f>
        <v>1.8295160936094283E-2</v>
      </c>
      <c r="G18" s="116">
        <f>0.003*($B$12-G17)/G17</f>
        <v>3.9590321872188569E-2</v>
      </c>
    </row>
    <row r="19" spans="1:18" ht="18" customHeight="1" x14ac:dyDescent="0.45">
      <c r="A19" s="94" t="s">
        <v>156</v>
      </c>
      <c r="B19" s="110">
        <f>$K$10*B18</f>
        <v>1036.3402340179421</v>
      </c>
      <c r="C19" s="117">
        <f>$K$10*C18</f>
        <v>621.95775522469694</v>
      </c>
      <c r="E19" s="96" t="s">
        <v>157</v>
      </c>
      <c r="F19" s="118">
        <f>B22*$B$6*($B$12-F16/2)</f>
        <v>295798615.46546924</v>
      </c>
      <c r="G19" s="119">
        <f>C22*$B$6*($B$12-G16/2)</f>
        <v>152608850.72694856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266218753.91892233</v>
      </c>
      <c r="G20" s="119">
        <f>$F$11*G19</f>
        <v>137347965.65425372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4</v>
      </c>
      <c r="C21" s="95">
        <v>2</v>
      </c>
      <c r="E21" s="96" t="s">
        <v>76</v>
      </c>
      <c r="F21" s="120">
        <f>F20/F5</f>
        <v>1.1991835762113618</v>
      </c>
      <c r="G21" s="121">
        <f>G20/F6</f>
        <v>1.0099115121636304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1256.6370614359173</v>
      </c>
      <c r="C22" s="123">
        <f>C20^2*PI()/4*C21</f>
        <v>628.31853071795865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112084.57486146342</v>
      </c>
      <c r="C24" s="85" t="s">
        <v>136</v>
      </c>
      <c r="E24" s="96" t="s">
        <v>169</v>
      </c>
      <c r="F24" s="99">
        <f>F9</f>
        <v>114000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56042.287430731711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1915.4251385365787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256.42680905822778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5559.7292210379792</v>
      </c>
      <c r="C29" s="104" t="s">
        <v>36</v>
      </c>
      <c r="D29" s="104"/>
      <c r="E29" s="105" t="s">
        <v>178</v>
      </c>
      <c r="F29" s="128">
        <f>MIN(B29,F28)</f>
        <v>256.42680905822778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5512693500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53486985.176814444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140.01259169060998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1458818762.2616506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0.62925864913899343</v>
      </c>
      <c r="D38" s="118">
        <f>$B$34/F10</f>
        <v>0.4532795353967326</v>
      </c>
      <c r="E38" s="118">
        <f>B34/F8</f>
        <v>1.6208177326307407</v>
      </c>
      <c r="F38" s="118">
        <f>B34/(F7+0.5*F8)</f>
        <v>0.52696537120014231</v>
      </c>
      <c r="G38" s="119">
        <f>MAX($B$34,($F$7+0.5*$F$8))</f>
        <v>101500000</v>
      </c>
    </row>
    <row r="39" spans="1:7" ht="18" customHeight="1" x14ac:dyDescent="0.45">
      <c r="A39" s="189" t="s">
        <v>193</v>
      </c>
      <c r="B39" s="190"/>
      <c r="C39" s="118">
        <f>C38^3*$B$32+(1-C38^3)*$B$36</f>
        <v>2468903725.5657744</v>
      </c>
      <c r="D39" s="118">
        <f>D38^3*$B$32+(1-D38^3)*$B$36</f>
        <v>1836363708.4885929</v>
      </c>
      <c r="E39" s="118">
        <f>$B$32*($B$34/E38)^3+(1-($B$34/E38)^3)*$B$36</f>
        <v>1.4568409645010305E+32</v>
      </c>
      <c r="F39" s="118">
        <f>$B$32*($B$34/F38)^3+(1-($B$34/F38)^3)*$B$36</f>
        <v>4.239049148211789E+33</v>
      </c>
      <c r="G39" s="119">
        <f>$B$32*($B$34/G38)^3+(1-($B$34/G38)^3)*$B$36</f>
        <v>2052039816.5740199</v>
      </c>
    </row>
    <row r="40" spans="1:7" ht="18" customHeight="1" x14ac:dyDescent="0.45">
      <c r="A40" s="189" t="s">
        <v>194</v>
      </c>
      <c r="B40" s="190"/>
      <c r="C40" s="110">
        <f>(5/48)*$F$7*$B$10^2/($F$31*$C$39)</f>
        <v>8.9158966640981419</v>
      </c>
      <c r="D40" s="110">
        <f>(5/48)*$F$10*$B$10^2/($F$31*$C$39)</f>
        <v>12.37736242780683</v>
      </c>
      <c r="E40" s="110">
        <f>D40-C40</f>
        <v>3.4614657637086879</v>
      </c>
      <c r="F40" s="110">
        <f>(5/48)*(F7+0.5*F8)*$B$10^2/($F$31*$C$39)</f>
        <v>10.646629545952486</v>
      </c>
      <c r="G40" s="112">
        <f>F40-C40</f>
        <v>1.7307328818543439</v>
      </c>
    </row>
    <row r="41" spans="1:7" ht="18" customHeight="1" x14ac:dyDescent="0.45">
      <c r="A41" s="94" t="s">
        <v>195</v>
      </c>
      <c r="B41" s="110">
        <f>E40+(C40*F34)+(G40*F35)</f>
        <v>24.408578279242789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33.333333333333336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 codeName="Sheet64"/>
  <dimension ref="A1:R51"/>
  <sheetViews>
    <sheetView view="pageLayout" topLeftCell="A16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233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103*10^6</f>
        <v>103000000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62*10^6</f>
        <v>62000000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39*10^6</f>
        <v>39000000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250</v>
      </c>
      <c r="C8" s="98" t="s">
        <v>36</v>
      </c>
      <c r="E8" s="96" t="s">
        <v>132</v>
      </c>
      <c r="F8" s="95">
        <f>10*10^6</f>
        <v>10000000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68*10^3</f>
        <v>68000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f>4050+1640+2310</f>
        <v>8000</v>
      </c>
      <c r="C10" s="98" t="s">
        <v>36</v>
      </c>
      <c r="E10" s="96" t="s">
        <v>139</v>
      </c>
      <c r="F10" s="99">
        <f>F7+F8</f>
        <v>49000000</v>
      </c>
      <c r="G10" s="97" t="s">
        <v>123</v>
      </c>
      <c r="J10" s="85" t="s">
        <v>140</v>
      </c>
      <c r="K10" s="85">
        <f>B8*B12</f>
        <v>157750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631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1.149730329634941</v>
      </c>
      <c r="C15" s="110">
        <f>$F$6/($F$11*B8*B12^2)</f>
        <v>0.69207068385792569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3.017662812754781E-3</v>
      </c>
      <c r="C16" s="114">
        <f>0.85*$B$5/$B$6*(1-SQRT(1-(2*C15/(0.85*$B$5))))</f>
        <v>1.7992973457252278E-3</v>
      </c>
      <c r="E16" s="96" t="s">
        <v>151</v>
      </c>
      <c r="F16" s="110">
        <f>B22*$B$6/(0.85*$B$5*$B$8)</f>
        <v>34.594479103059371</v>
      </c>
      <c r="G16" s="112">
        <f>C22*$B$6/(0.85*$B$5*$B$8)</f>
        <v>20.756687461835618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40.699387180069849</v>
      </c>
      <c r="G17" s="112">
        <f>G16/G15</f>
        <v>24.419632308041905</v>
      </c>
    </row>
    <row r="18" spans="1:18" ht="18" customHeight="1" x14ac:dyDescent="0.45">
      <c r="A18" s="94" t="s">
        <v>154</v>
      </c>
      <c r="B18" s="113">
        <f>MAX(B16:B17)</f>
        <v>3.5897435897435893E-3</v>
      </c>
      <c r="C18" s="114">
        <f>MAX(C16:C17)</f>
        <v>3.5897435897435893E-3</v>
      </c>
      <c r="E18" s="96" t="s">
        <v>155</v>
      </c>
      <c r="F18" s="115">
        <f>0.003*($B$12-F17)/F17</f>
        <v>4.3511756838613691E-2</v>
      </c>
      <c r="G18" s="116">
        <f>0.003*($B$12-G17)/G17</f>
        <v>7.4519594731022834E-2</v>
      </c>
    </row>
    <row r="19" spans="1:18" ht="18" customHeight="1" x14ac:dyDescent="0.45">
      <c r="A19" s="94" t="s">
        <v>156</v>
      </c>
      <c r="B19" s="110">
        <f>$K$10*B18</f>
        <v>566.28205128205116</v>
      </c>
      <c r="C19" s="117">
        <f>$K$10*C18</f>
        <v>566.28205128205116</v>
      </c>
      <c r="E19" s="96" t="s">
        <v>157</v>
      </c>
      <c r="F19" s="118">
        <f>B22*$B$6*($B$12-F16/2)</f>
        <v>135345886.67663091</v>
      </c>
      <c r="G19" s="119">
        <f>C22*$B$6*($B$12-G16/2)</f>
        <v>82123067.164053738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12</v>
      </c>
      <c r="C20" s="95">
        <v>12</v>
      </c>
      <c r="E20" s="96" t="s">
        <v>162</v>
      </c>
      <c r="F20" s="118">
        <f>$F$11*F19</f>
        <v>121811298.00896783</v>
      </c>
      <c r="G20" s="119">
        <f>$F$11*G19</f>
        <v>73910760.447648361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5</v>
      </c>
      <c r="C21" s="95">
        <v>3</v>
      </c>
      <c r="E21" s="96" t="s">
        <v>76</v>
      </c>
      <c r="F21" s="120">
        <f>F20/F5</f>
        <v>1.1826339612521148</v>
      </c>
      <c r="G21" s="121">
        <f>G20/F6</f>
        <v>1.1921090394781995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565.48667764616278</v>
      </c>
      <c r="C22" s="123">
        <f>C20^2*PI()/4*C21</f>
        <v>339.29200658769764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110164.12264421093</v>
      </c>
      <c r="C24" s="85" t="s">
        <v>136</v>
      </c>
      <c r="E24" s="96" t="s">
        <v>169</v>
      </c>
      <c r="F24" s="99">
        <f>F9</f>
        <v>68000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55082.061322105466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256.42680905822778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256.42680905822778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5234158145.833333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50784492.038109869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105.29078368277044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825783790.43932533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1.3021664625156377</v>
      </c>
      <c r="D38" s="118">
        <f>$B$34/F10</f>
        <v>1.0364182048593851</v>
      </c>
      <c r="E38" s="118">
        <f>B34/F8</f>
        <v>5.0784492038109867</v>
      </c>
      <c r="F38" s="118">
        <f>B34/(F7+0.5*F8)</f>
        <v>1.1541930008661334</v>
      </c>
      <c r="G38" s="119">
        <f>MAX($B$34,($F$7+0.5*$F$8))</f>
        <v>50784492.038109869</v>
      </c>
    </row>
    <row r="39" spans="1:7" ht="18" customHeight="1" x14ac:dyDescent="0.45">
      <c r="A39" s="189" t="s">
        <v>193</v>
      </c>
      <c r="B39" s="190"/>
      <c r="C39" s="118">
        <f>C38^3*$B$32+(1-C38^3)*$B$36</f>
        <v>10559484418.269487</v>
      </c>
      <c r="D39" s="118">
        <f>D38^3*$B$32+(1-D38^3)*$B$36</f>
        <v>5733546606.4620476</v>
      </c>
      <c r="E39" s="118">
        <f>$B$32*($B$34/E38)^3+(1-($B$34/E38)^3)*$B$36</f>
        <v>4.4083743553940071E+30</v>
      </c>
      <c r="F39" s="118">
        <f>$B$32*($B$34/F38)^3+(1-($B$34/F38)^3)*$B$36</f>
        <v>3.7552296108988315E+32</v>
      </c>
      <c r="G39" s="119">
        <f>$B$32*($B$34/G38)^3+(1-($B$34/G38)^3)*$B$36</f>
        <v>5234158145.833333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0.95647175354842107</v>
      </c>
      <c r="D40" s="110">
        <f>(5/48)*$F$10*$B$10^2/($F$31*$C$39)</f>
        <v>1.2017209211249393</v>
      </c>
      <c r="E40" s="110">
        <f>D40-C40</f>
        <v>0.24524916757651827</v>
      </c>
      <c r="F40" s="110">
        <f>(5/48)*(F7+0.5*F8)*$B$10^2/($F$31*$C$39)</f>
        <v>1.0790963373366802</v>
      </c>
      <c r="G40" s="112">
        <f>F40-C40</f>
        <v>0.12262458378825913</v>
      </c>
    </row>
    <row r="41" spans="1:7" ht="18" customHeight="1" x14ac:dyDescent="0.45">
      <c r="A41" s="94" t="s">
        <v>195</v>
      </c>
      <c r="B41" s="110">
        <f>E40+(C40*F34)+(G40*F35)</f>
        <v>2.3789169254922267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33.333333333333336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>
    <tabColor rgb="FF00B050"/>
  </sheetPr>
  <dimension ref="A1:R51"/>
  <sheetViews>
    <sheetView topLeftCell="A7" zoomScaleNormal="100" workbookViewId="0">
      <selection activeCell="D26" sqref="D26:E26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  <c r="H2" s="89">
        <f>266*10^6</f>
        <v>266000000</v>
      </c>
    </row>
    <row r="3" spans="1:17" ht="18" customHeight="1" x14ac:dyDescent="0.45">
      <c r="A3" s="181" t="s">
        <v>118</v>
      </c>
      <c r="B3" s="182"/>
      <c r="C3" s="182"/>
      <c r="D3" s="182"/>
      <c r="E3" s="182"/>
      <c r="F3" s="182"/>
      <c r="G3" s="183"/>
      <c r="H3" s="95">
        <f>570*10^6</f>
        <v>570000000</v>
      </c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95">
        <f>557*10^6</f>
        <v>557000000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256*10^6</f>
        <v>256000000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144*10^6</f>
        <v>144000000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55*10^6</f>
        <v>55000000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391*10^3</f>
        <v>391000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8300</v>
      </c>
      <c r="C10" s="98" t="s">
        <v>36</v>
      </c>
      <c r="E10" s="96" t="s">
        <v>139</v>
      </c>
      <c r="F10" s="99">
        <f>F7+F8</f>
        <v>199000000</v>
      </c>
      <c r="G10" s="97" t="s">
        <v>123</v>
      </c>
      <c r="J10" s="85" t="s">
        <v>140</v>
      </c>
      <c r="K10" s="85">
        <f>B8*B12</f>
        <v>240400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4.2835491103906751</v>
      </c>
      <c r="C15" s="110">
        <f>$F$6/($F$11*B8*B12^2)</f>
        <v>1.9687407042370069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1.210376131190808E-2</v>
      </c>
      <c r="C16" s="114">
        <f>0.85*$B$5/$B$6*(1-SQRT(1-(2*C15/(0.85*$B$5))))</f>
        <v>5.2595963840203772E-3</v>
      </c>
      <c r="E16" s="96" t="s">
        <v>151</v>
      </c>
      <c r="F16" s="110">
        <f>B22*$B$6/(0.85*$B$5*$B$8)</f>
        <v>117.71732472568812</v>
      </c>
      <c r="G16" s="112">
        <f>C22*$B$6/(0.85*$B$5*$B$8)</f>
        <v>84.083803375491527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138.49097026551544</v>
      </c>
      <c r="G17" s="112">
        <f>G16/G15</f>
        <v>98.922121618225333</v>
      </c>
    </row>
    <row r="18" spans="1:18" ht="18" customHeight="1" x14ac:dyDescent="0.45">
      <c r="A18" s="94" t="s">
        <v>154</v>
      </c>
      <c r="B18" s="113">
        <f>MAX(B16:B17)</f>
        <v>1.210376131190808E-2</v>
      </c>
      <c r="C18" s="114">
        <f>MAX(C16:C17)</f>
        <v>5.2595963840203772E-3</v>
      </c>
      <c r="E18" s="96" t="s">
        <v>155</v>
      </c>
      <c r="F18" s="115">
        <f>0.003*($B$12-F17)/F17</f>
        <v>1.0018899329994448E-2</v>
      </c>
      <c r="G18" s="116">
        <f>0.003*($B$12-G17)/G17</f>
        <v>1.5226459061992225E-2</v>
      </c>
    </row>
    <row r="19" spans="1:18" ht="18" customHeight="1" x14ac:dyDescent="0.45">
      <c r="A19" s="94" t="s">
        <v>156</v>
      </c>
      <c r="B19" s="110">
        <f>$K$10*B18</f>
        <v>2909.7442193827023</v>
      </c>
      <c r="C19" s="117">
        <f>$K$10*C18</f>
        <v>1264.4069707184988</v>
      </c>
      <c r="E19" s="96" t="s">
        <v>157</v>
      </c>
      <c r="F19" s="118">
        <f>B22*$B$6*($B$12-F16/2)</f>
        <v>650958164.4764905</v>
      </c>
      <c r="G19" s="119">
        <f>C22*$B$6*($B$12-G16/2)</f>
        <v>479393092.90298778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20</v>
      </c>
      <c r="E20" s="96" t="s">
        <v>162</v>
      </c>
      <c r="F20" s="118">
        <f>$F$11*F19</f>
        <v>585862348.0288415</v>
      </c>
      <c r="G20" s="119">
        <f>$F$11*G19</f>
        <v>431453783.61268902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5</v>
      </c>
      <c r="C21" s="142">
        <v>7</v>
      </c>
      <c r="E21" s="96" t="s">
        <v>76</v>
      </c>
      <c r="F21" s="120">
        <f>F20/F5</f>
        <v>1.0518175009494461</v>
      </c>
      <c r="G21" s="121">
        <f>G20/F6</f>
        <v>1.6853663422370664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3078.7608005179973</v>
      </c>
      <c r="C22" s="123">
        <f>C20^2*PI()/4*C21</f>
        <v>2199.1148575128555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110">
        <f>$K$10*B17</f>
        <v>862.97435897435889</v>
      </c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167882.44110090847</v>
      </c>
      <c r="C24" s="85" t="s">
        <v>136</v>
      </c>
      <c r="E24" s="96" t="s">
        <v>169</v>
      </c>
      <c r="F24" s="99">
        <f>F9</f>
        <v>391000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83941.220550454236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  <c r="H25" s="95">
        <v>20</v>
      </c>
    </row>
    <row r="26" spans="1:18" ht="18" customHeight="1" x14ac:dyDescent="0.45">
      <c r="A26" s="94" t="s">
        <v>172</v>
      </c>
      <c r="B26" s="110">
        <f>IF(F24&gt;B24,F24-B24, "N/A")</f>
        <v>223117.55889909153</v>
      </c>
      <c r="C26" s="85" t="s">
        <v>136</v>
      </c>
      <c r="D26" s="190"/>
      <c r="E26" s="190"/>
      <c r="G26" s="112"/>
      <c r="H26" s="95">
        <v>6</v>
      </c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  <c r="H27" s="123">
        <f>H25^2*PI()/4*H26</f>
        <v>1884.9555921538758</v>
      </c>
    </row>
    <row r="28" spans="1:18" ht="18" customHeight="1" x14ac:dyDescent="0.45">
      <c r="A28" s="94" t="s">
        <v>174</v>
      </c>
      <c r="B28" s="111">
        <f>3*B27^2*PI()/4</f>
        <v>235.61944901923448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185.64263698513614</v>
      </c>
      <c r="C29" s="104" t="s">
        <v>36</v>
      </c>
      <c r="D29" s="104"/>
      <c r="E29" s="105" t="s">
        <v>178</v>
      </c>
      <c r="F29" s="128">
        <f>MIN(B29,F28)</f>
        <v>185.64263698513614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7236060033.3333321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70207972.879580438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187.86317838464848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3800155697.4866405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0.48755536721930859</v>
      </c>
      <c r="D38" s="118">
        <f>$B$34/F10</f>
        <v>0.35280388381698713</v>
      </c>
      <c r="E38" s="118">
        <f>B34/F8</f>
        <v>1.2765085978105535</v>
      </c>
      <c r="F38" s="118">
        <f>B34/(F7+0.5*F8)</f>
        <v>0.40937593515790344</v>
      </c>
      <c r="G38" s="119">
        <f>MAX($B$34,($F$7+0.5*$F$8))</f>
        <v>171500000</v>
      </c>
    </row>
    <row r="39" spans="1:7" ht="18" customHeight="1" x14ac:dyDescent="0.45">
      <c r="A39" s="189" t="s">
        <v>193</v>
      </c>
      <c r="B39" s="190"/>
      <c r="C39" s="118">
        <f>C38^3*$B$32+(1-C38^3)*$B$36</f>
        <v>4198366363.7092962</v>
      </c>
      <c r="D39" s="118">
        <f>D38^3*$B$32+(1-D38^3)*$B$36</f>
        <v>3951038984.1467266</v>
      </c>
      <c r="E39" s="118">
        <f>$B$32*($B$34/E38)^3+(1-($B$34/E38)^3)*$B$36</f>
        <v>5.7164858387649333E+32</v>
      </c>
      <c r="F39" s="118">
        <f>$B$32*($B$34/F38)^3+(1-($B$34/F38)^3)*$B$36</f>
        <v>1.7331391657294176E+34</v>
      </c>
      <c r="G39" s="119">
        <f>$B$32*($B$34/G38)^3+(1-($B$34/G38)^3)*$B$36</f>
        <v>4035881971.5657215</v>
      </c>
    </row>
    <row r="40" spans="1:7" ht="18" customHeight="1" x14ac:dyDescent="0.45">
      <c r="A40" s="189" t="s">
        <v>194</v>
      </c>
      <c r="B40" s="190"/>
      <c r="C40" s="110">
        <f>(5/48)*$F$7*$B$10^2/($F$31*$C$39)</f>
        <v>9.5611168213537923</v>
      </c>
      <c r="D40" s="110">
        <f>(5/48)*$F$10*$B$10^2/($F$31*$C$39)</f>
        <v>13.2129322739542</v>
      </c>
      <c r="E40" s="110">
        <f>D40-C40</f>
        <v>3.6518154526004079</v>
      </c>
      <c r="F40" s="110">
        <f>(5/48)*(F7+0.5*F8)*$B$10^2/($F$31*$C$39)</f>
        <v>11.387024547653997</v>
      </c>
      <c r="G40" s="112">
        <f>F40-C40</f>
        <v>1.8259077263002048</v>
      </c>
    </row>
    <row r="41" spans="1:7" ht="18" customHeight="1" x14ac:dyDescent="0.45">
      <c r="A41" s="94" t="s">
        <v>195</v>
      </c>
      <c r="B41" s="110">
        <f>E40+(C40*F34)+(G40*F35)</f>
        <v>26.060683002648364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34.583333333333336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45" spans="1:7" ht="18" customHeight="1" x14ac:dyDescent="0.45">
      <c r="A45" s="85" t="s">
        <v>223</v>
      </c>
      <c r="B45" s="85" t="s">
        <v>222</v>
      </c>
      <c r="C45" s="85" t="s">
        <v>224</v>
      </c>
      <c r="D45" s="85" t="s">
        <v>223</v>
      </c>
      <c r="E45" s="85" t="s">
        <v>222</v>
      </c>
      <c r="F45" s="99" t="s">
        <v>224</v>
      </c>
    </row>
    <row r="46" spans="1:7" ht="18" customHeight="1" x14ac:dyDescent="0.45">
      <c r="A46" s="85">
        <v>1</v>
      </c>
      <c r="B46" s="99">
        <v>28</v>
      </c>
      <c r="C46" s="138">
        <f>A46*PI()*B46^2/4</f>
        <v>615.75216010359941</v>
      </c>
      <c r="D46" s="138">
        <f>ROUNDUP(A46*PI()*B46^2/4/(PI()*E46^2/4),1)</f>
        <v>2</v>
      </c>
      <c r="E46" s="138">
        <v>20</v>
      </c>
      <c r="F46" s="139">
        <f>D46*PI()*E46^2/4</f>
        <v>628.31853071795865</v>
      </c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 codeName="Sheet27"/>
  <dimension ref="A1:Q130"/>
  <sheetViews>
    <sheetView zoomScale="85" zoomScaleNormal="85" workbookViewId="0">
      <selection activeCell="B12" sqref="B12"/>
    </sheetView>
  </sheetViews>
  <sheetFormatPr defaultColWidth="9.1328125" defaultRowHeight="14.25" x14ac:dyDescent="0.45"/>
  <cols>
    <col min="1" max="2" width="10" style="4" customWidth="1"/>
    <col min="3" max="3" width="10.86328125" style="4" customWidth="1"/>
    <col min="4" max="4" width="11.265625" style="4" customWidth="1"/>
    <col min="5" max="5" width="11.3984375" style="4" customWidth="1"/>
    <col min="6" max="6" width="12.73046875" style="4" customWidth="1"/>
    <col min="7" max="8" width="13.73046875" style="4" customWidth="1"/>
    <col min="9" max="12" width="15.73046875" style="3" customWidth="1"/>
    <col min="13" max="13" width="13.73046875" style="4" bestFit="1" customWidth="1"/>
    <col min="14" max="14" width="12.59765625" style="4" bestFit="1" customWidth="1"/>
    <col min="15" max="15" width="12.3984375" style="4" customWidth="1"/>
    <col min="16" max="16" width="13.73046875" style="4" customWidth="1"/>
    <col min="17" max="16384" width="9.1328125" style="4"/>
  </cols>
  <sheetData>
    <row r="1" spans="1:17" ht="19.5" customHeight="1" thickBot="1" x14ac:dyDescent="0.5">
      <c r="A1" s="144" t="s">
        <v>211</v>
      </c>
      <c r="B1" s="144"/>
      <c r="C1" s="144"/>
      <c r="D1" s="144"/>
      <c r="E1" s="144"/>
      <c r="F1" s="144"/>
      <c r="G1" s="144"/>
      <c r="H1" s="1"/>
      <c r="I1" s="2"/>
      <c r="J1" s="2"/>
    </row>
    <row r="2" spans="1:17" ht="15.75" x14ac:dyDescent="0.5">
      <c r="A2" s="145"/>
      <c r="B2" s="146"/>
      <c r="C2" s="147"/>
      <c r="D2" s="5"/>
      <c r="E2" s="6"/>
      <c r="F2" s="148"/>
      <c r="G2" s="149"/>
      <c r="I2" s="7"/>
      <c r="J2" s="7" t="str">
        <f>IF(K3&lt;2, "Two Way Slab", "One way Slab")</f>
        <v>Two Way Slab</v>
      </c>
      <c r="K2" s="7"/>
      <c r="L2" s="7"/>
      <c r="N2" s="4" t="s">
        <v>0</v>
      </c>
    </row>
    <row r="3" spans="1:17" ht="14.25" customHeight="1" x14ac:dyDescent="0.45">
      <c r="A3" s="8"/>
      <c r="B3" s="9" t="s">
        <v>1</v>
      </c>
      <c r="F3" s="9" t="s">
        <v>2</v>
      </c>
      <c r="G3" s="10"/>
      <c r="I3" s="7"/>
      <c r="J3" s="7" t="s">
        <v>3</v>
      </c>
      <c r="K3" s="7">
        <f>F5/F4</f>
        <v>1.4000000000000001</v>
      </c>
      <c r="L3" s="7"/>
    </row>
    <row r="4" spans="1:17" ht="14.25" customHeight="1" x14ac:dyDescent="0.45">
      <c r="A4" s="11" t="s">
        <v>4</v>
      </c>
      <c r="B4" s="12">
        <v>390</v>
      </c>
      <c r="C4" s="13" t="s">
        <v>5</v>
      </c>
      <c r="E4" s="14" t="s">
        <v>6</v>
      </c>
      <c r="F4" s="15">
        <v>7</v>
      </c>
      <c r="G4" s="10" t="s">
        <v>7</v>
      </c>
      <c r="I4" s="7"/>
      <c r="J4" s="7" t="s">
        <v>8</v>
      </c>
      <c r="K4" s="7"/>
      <c r="L4" s="7"/>
    </row>
    <row r="5" spans="1:17" ht="14.25" customHeight="1" x14ac:dyDescent="0.45">
      <c r="A5" s="11" t="s">
        <v>9</v>
      </c>
      <c r="B5" s="12">
        <v>200000</v>
      </c>
      <c r="C5" s="13" t="s">
        <v>5</v>
      </c>
      <c r="E5" s="14" t="s">
        <v>10</v>
      </c>
      <c r="F5" s="15">
        <v>9.8000000000000007</v>
      </c>
      <c r="G5" s="10" t="s">
        <v>7</v>
      </c>
      <c r="I5" s="7" t="s">
        <v>11</v>
      </c>
      <c r="J5" s="7" t="s">
        <v>12</v>
      </c>
      <c r="K5" s="16">
        <v>0.2</v>
      </c>
      <c r="L5" s="17" t="s">
        <v>7</v>
      </c>
    </row>
    <row r="6" spans="1:17" ht="14.25" customHeight="1" x14ac:dyDescent="0.45">
      <c r="A6" s="11" t="s">
        <v>13</v>
      </c>
      <c r="B6" s="12">
        <v>30</v>
      </c>
      <c r="C6" s="13" t="s">
        <v>5</v>
      </c>
      <c r="E6" s="14" t="s">
        <v>14</v>
      </c>
      <c r="F6" s="18">
        <f>K14/180</f>
        <v>0.18666666666666668</v>
      </c>
      <c r="G6" s="10" t="s">
        <v>7</v>
      </c>
      <c r="I6" s="7"/>
      <c r="J6" s="7" t="s">
        <v>15</v>
      </c>
      <c r="K6" s="16">
        <v>0.4</v>
      </c>
      <c r="L6" s="17" t="s">
        <v>7</v>
      </c>
    </row>
    <row r="7" spans="1:17" ht="17.25" customHeight="1" x14ac:dyDescent="0.45">
      <c r="A7" s="11" t="s">
        <v>16</v>
      </c>
      <c r="B7" s="12">
        <v>25</v>
      </c>
      <c r="C7" s="13" t="s">
        <v>17</v>
      </c>
      <c r="E7" s="14" t="s">
        <v>18</v>
      </c>
      <c r="F7" s="19">
        <v>0.2</v>
      </c>
      <c r="G7" s="10" t="s">
        <v>7</v>
      </c>
      <c r="I7" s="7" t="s">
        <v>19</v>
      </c>
      <c r="J7" s="7" t="s">
        <v>20</v>
      </c>
      <c r="K7" s="16">
        <v>0.2</v>
      </c>
      <c r="L7" s="17" t="s">
        <v>7</v>
      </c>
    </row>
    <row r="8" spans="1:17" ht="16.5" customHeight="1" x14ac:dyDescent="0.45">
      <c r="A8" s="8"/>
      <c r="B8" s="14"/>
      <c r="C8" s="13"/>
      <c r="D8" s="13"/>
      <c r="E8" s="14" t="s">
        <v>21</v>
      </c>
      <c r="F8" s="15">
        <v>1</v>
      </c>
      <c r="G8" s="10" t="s">
        <v>7</v>
      </c>
      <c r="I8" s="7"/>
      <c r="J8" s="7" t="s">
        <v>22</v>
      </c>
      <c r="K8" s="16">
        <v>0.4</v>
      </c>
      <c r="L8" s="17" t="s">
        <v>7</v>
      </c>
      <c r="N8" s="4" t="s">
        <v>23</v>
      </c>
    </row>
    <row r="9" spans="1:17" ht="16.5" customHeight="1" x14ac:dyDescent="0.45">
      <c r="A9" s="8"/>
      <c r="B9" s="14"/>
      <c r="C9" s="13"/>
      <c r="D9" s="13"/>
      <c r="E9" s="14" t="s">
        <v>24</v>
      </c>
      <c r="F9" s="15">
        <v>2.5000000000000001E-2</v>
      </c>
      <c r="G9" s="10" t="s">
        <v>7</v>
      </c>
      <c r="I9" s="7"/>
      <c r="J9" s="7" t="s">
        <v>25</v>
      </c>
      <c r="K9" s="20">
        <f>F4</f>
        <v>7</v>
      </c>
      <c r="L9" s="17" t="s">
        <v>7</v>
      </c>
      <c r="O9" s="3"/>
      <c r="P9" s="3"/>
      <c r="Q9" s="3"/>
    </row>
    <row r="10" spans="1:17" ht="14.25" customHeight="1" x14ac:dyDescent="0.45">
      <c r="A10" s="150" t="s">
        <v>26</v>
      </c>
      <c r="B10" s="151"/>
      <c r="C10" s="151"/>
      <c r="D10" s="15" t="s">
        <v>27</v>
      </c>
      <c r="E10" s="9"/>
      <c r="F10" s="15" t="s">
        <v>28</v>
      </c>
      <c r="G10" s="10"/>
      <c r="I10" s="7"/>
      <c r="J10" s="7" t="s">
        <v>29</v>
      </c>
      <c r="K10" s="20">
        <f>F5</f>
        <v>9.8000000000000007</v>
      </c>
      <c r="L10" s="17" t="s">
        <v>7</v>
      </c>
      <c r="O10" s="3"/>
      <c r="P10" s="3"/>
      <c r="Q10" s="3"/>
    </row>
    <row r="11" spans="1:17" ht="15" customHeight="1" x14ac:dyDescent="0.45">
      <c r="A11" s="152" t="s">
        <v>30</v>
      </c>
      <c r="B11" s="3">
        <f>40+0</f>
        <v>40</v>
      </c>
      <c r="C11" s="15"/>
      <c r="D11" s="153">
        <f>C11+C12</f>
        <v>0</v>
      </c>
      <c r="E11" s="154" t="s">
        <v>31</v>
      </c>
      <c r="F11" s="155"/>
      <c r="G11" s="10"/>
      <c r="I11" s="7"/>
      <c r="J11" s="7" t="s">
        <v>32</v>
      </c>
      <c r="K11" s="21">
        <f>F7</f>
        <v>0.2</v>
      </c>
      <c r="L11" s="17" t="s">
        <v>7</v>
      </c>
      <c r="O11" s="3"/>
      <c r="P11" s="3"/>
      <c r="Q11" s="3"/>
    </row>
    <row r="12" spans="1:17" ht="15" customHeight="1" x14ac:dyDescent="0.45">
      <c r="A12" s="152"/>
      <c r="B12" s="3">
        <f>B9-B11-$B$27-(B20/2)</f>
        <v>-40</v>
      </c>
      <c r="C12" s="3"/>
      <c r="D12" s="153"/>
      <c r="E12" s="154"/>
      <c r="F12" s="155"/>
      <c r="G12" s="10"/>
      <c r="I12" s="7"/>
      <c r="J12" s="7" t="s">
        <v>33</v>
      </c>
      <c r="K12" s="20">
        <f>F9</f>
        <v>2.5000000000000001E-2</v>
      </c>
      <c r="L12" s="17" t="s">
        <v>7</v>
      </c>
      <c r="O12" s="3"/>
      <c r="P12" s="3"/>
      <c r="Q12" s="3"/>
    </row>
    <row r="13" spans="1:17" ht="20.25" customHeight="1" x14ac:dyDescent="0.45">
      <c r="A13" s="11" t="s">
        <v>34</v>
      </c>
      <c r="D13" s="15">
        <v>1.92</v>
      </c>
      <c r="E13" s="13" t="s">
        <v>31</v>
      </c>
      <c r="F13" s="15"/>
      <c r="G13" s="10"/>
      <c r="I13" s="7"/>
      <c r="J13" s="7" t="s">
        <v>35</v>
      </c>
      <c r="K13" s="16">
        <v>10</v>
      </c>
      <c r="L13" s="17" t="s">
        <v>36</v>
      </c>
      <c r="O13" s="3"/>
      <c r="P13" s="3"/>
      <c r="Q13" s="3"/>
    </row>
    <row r="14" spans="1:17" ht="15" customHeight="1" x14ac:dyDescent="0.45">
      <c r="A14" s="11" t="s">
        <v>37</v>
      </c>
      <c r="B14" s="3"/>
      <c r="C14" s="13" t="s">
        <v>31</v>
      </c>
      <c r="G14" s="10"/>
      <c r="I14" s="7"/>
      <c r="J14" s="7" t="s">
        <v>38</v>
      </c>
      <c r="K14" s="7">
        <f>(F4+F5)*2</f>
        <v>33.6</v>
      </c>
      <c r="L14" s="7"/>
      <c r="N14" s="4" t="s">
        <v>39</v>
      </c>
      <c r="P14" s="3"/>
      <c r="Q14" s="3"/>
    </row>
    <row r="15" spans="1:17" ht="15" customHeight="1" x14ac:dyDescent="0.45">
      <c r="A15" s="11"/>
      <c r="B15" s="3"/>
      <c r="C15" s="13"/>
      <c r="D15" s="153"/>
      <c r="E15" s="153"/>
      <c r="F15" s="153"/>
      <c r="G15" s="158"/>
      <c r="I15" s="7"/>
      <c r="J15" s="7" t="s">
        <v>40</v>
      </c>
      <c r="K15" s="22">
        <f>$K$9/30</f>
        <v>0.23333333333333334</v>
      </c>
      <c r="L15" s="7"/>
      <c r="Q15" s="3"/>
    </row>
    <row r="16" spans="1:17" ht="15" customHeight="1" x14ac:dyDescent="0.45">
      <c r="A16" s="11"/>
      <c r="B16" s="3"/>
      <c r="C16" s="13"/>
      <c r="D16" s="153"/>
      <c r="E16" s="153"/>
      <c r="F16" s="153"/>
      <c r="G16" s="158"/>
      <c r="I16" s="7"/>
      <c r="J16" s="7"/>
      <c r="K16" s="22">
        <f>$K$9/50</f>
        <v>0.14000000000000001</v>
      </c>
      <c r="L16" s="7"/>
      <c r="Q16" s="3"/>
    </row>
    <row r="17" spans="1:17" ht="15" customHeight="1" x14ac:dyDescent="0.45">
      <c r="A17" s="11"/>
      <c r="B17" s="3"/>
      <c r="C17" s="13"/>
      <c r="D17" s="153"/>
      <c r="E17" s="153"/>
      <c r="F17" s="153"/>
      <c r="G17" s="158"/>
      <c r="I17" s="7"/>
      <c r="J17" s="7" t="s">
        <v>41</v>
      </c>
      <c r="K17" s="7">
        <f>B22*B14*F4^2</f>
        <v>0</v>
      </c>
      <c r="L17" s="7"/>
    </row>
    <row r="18" spans="1:17" ht="15" customHeight="1" x14ac:dyDescent="0.45">
      <c r="A18" s="8"/>
      <c r="D18" s="153"/>
      <c r="E18" s="153"/>
      <c r="F18" s="153"/>
      <c r="G18" s="158"/>
      <c r="I18" s="7"/>
      <c r="J18" s="7" t="s">
        <v>42</v>
      </c>
      <c r="K18" s="7">
        <f>B23*B14*F5^2</f>
        <v>0</v>
      </c>
      <c r="L18" s="7"/>
    </row>
    <row r="19" spans="1:17" ht="14.25" customHeight="1" x14ac:dyDescent="0.45">
      <c r="A19" s="23" t="s">
        <v>43</v>
      </c>
      <c r="D19" s="153"/>
      <c r="E19" s="153"/>
      <c r="F19" s="153"/>
      <c r="G19" s="158"/>
      <c r="I19" s="7"/>
      <c r="J19" s="7" t="s">
        <v>44</v>
      </c>
      <c r="K19" s="7">
        <f>$F$11*E22*$D$11*F4^2+$F$13*$D$13*G22*F4^2</f>
        <v>0</v>
      </c>
      <c r="L19" s="7"/>
    </row>
    <row r="20" spans="1:17" ht="14.25" customHeight="1" x14ac:dyDescent="0.45">
      <c r="A20" s="159" t="s">
        <v>45</v>
      </c>
      <c r="B20" s="153"/>
      <c r="C20" s="24"/>
      <c r="D20" s="153"/>
      <c r="E20" s="153"/>
      <c r="F20" s="153"/>
      <c r="G20" s="158"/>
      <c r="I20" s="7"/>
      <c r="J20" s="7" t="s">
        <v>46</v>
      </c>
      <c r="K20" s="7">
        <f>$F$11*E23*$D$11*F5^2+$F$13*$D$13*G23*F5^2</f>
        <v>0</v>
      </c>
      <c r="L20" s="7"/>
    </row>
    <row r="21" spans="1:17" ht="16.5" customHeight="1" x14ac:dyDescent="0.45">
      <c r="A21" s="159" t="s">
        <v>47</v>
      </c>
      <c r="B21" s="153"/>
      <c r="C21" s="15"/>
      <c r="D21" s="3"/>
      <c r="G21" s="10"/>
      <c r="I21" s="7"/>
      <c r="J21" s="17" t="s">
        <v>48</v>
      </c>
      <c r="K21" s="7"/>
      <c r="L21" s="7"/>
    </row>
    <row r="22" spans="1:17" ht="16.5" customHeight="1" x14ac:dyDescent="0.45">
      <c r="A22" s="25" t="s">
        <v>49</v>
      </c>
      <c r="B22" s="160"/>
      <c r="C22" s="160"/>
      <c r="D22" s="3" t="s">
        <v>50</v>
      </c>
      <c r="E22" s="18"/>
      <c r="F22" s="3" t="s">
        <v>51</v>
      </c>
      <c r="G22" s="26"/>
      <c r="I22" s="7"/>
      <c r="J22" s="7" t="s">
        <v>52</v>
      </c>
      <c r="K22" s="7">
        <f>F4/F5</f>
        <v>0.71428571428571419</v>
      </c>
      <c r="L22" s="7"/>
    </row>
    <row r="23" spans="1:17" ht="18.75" customHeight="1" x14ac:dyDescent="0.45">
      <c r="A23" s="25" t="s">
        <v>53</v>
      </c>
      <c r="B23" s="160"/>
      <c r="C23" s="160"/>
      <c r="D23" s="3" t="s">
        <v>54</v>
      </c>
      <c r="E23" s="18"/>
      <c r="F23" s="3" t="s">
        <v>55</v>
      </c>
      <c r="G23" s="26"/>
      <c r="H23" s="27"/>
      <c r="I23" s="7"/>
      <c r="J23" s="7" t="s">
        <v>56</v>
      </c>
      <c r="K23" s="7">
        <f>$B$14/(1+K22^4)</f>
        <v>0</v>
      </c>
      <c r="L23" s="7" t="s">
        <v>31</v>
      </c>
    </row>
    <row r="24" spans="1:17" ht="18.75" customHeight="1" x14ac:dyDescent="0.45">
      <c r="A24" s="161" t="s">
        <v>57</v>
      </c>
      <c r="B24" s="162"/>
      <c r="C24" s="162"/>
      <c r="D24" s="3" t="s">
        <v>58</v>
      </c>
      <c r="E24" s="3" t="s">
        <v>59</v>
      </c>
      <c r="F24" s="3" t="s">
        <v>60</v>
      </c>
      <c r="G24" s="28" t="s">
        <v>61</v>
      </c>
      <c r="H24" s="29"/>
      <c r="I24" s="7"/>
      <c r="J24" s="7" t="s">
        <v>62</v>
      </c>
      <c r="K24" s="7">
        <f>$B$14*(K22^4/(1+K22^4))</f>
        <v>0</v>
      </c>
      <c r="L24" s="7" t="s">
        <v>31</v>
      </c>
    </row>
    <row r="25" spans="1:17" ht="18" customHeight="1" x14ac:dyDescent="0.45">
      <c r="A25" s="161"/>
      <c r="B25" s="162"/>
      <c r="C25" s="162"/>
      <c r="D25" s="24">
        <v>33</v>
      </c>
      <c r="E25" s="24">
        <v>44.1</v>
      </c>
      <c r="F25" s="24">
        <v>28.5</v>
      </c>
      <c r="G25" s="30">
        <v>45</v>
      </c>
      <c r="H25" s="29"/>
      <c r="I25" s="7"/>
      <c r="J25" s="7"/>
      <c r="K25" s="7">
        <f>B49*D39/1000</f>
        <v>5.8577741714506984E-2</v>
      </c>
      <c r="L25" s="7"/>
    </row>
    <row r="26" spans="1:17" ht="14.25" customHeight="1" x14ac:dyDescent="0.45">
      <c r="A26" s="159" t="s">
        <v>63</v>
      </c>
      <c r="B26" s="153"/>
      <c r="C26" s="153"/>
      <c r="D26" s="31">
        <f>$F$7-$K$12-($K$13/2/1000)</f>
        <v>0.17</v>
      </c>
      <c r="E26" s="31">
        <f>$F$7-$K$12-($K$13/2/1000)</f>
        <v>0.17</v>
      </c>
      <c r="F26" s="31">
        <f>$F$7-$K$12-($K$13/2/1000)-(K13/1000)</f>
        <v>0.16</v>
      </c>
      <c r="G26" s="32">
        <f>$F$7-$K$12-($K$13/2/1000)-(K13/1000)</f>
        <v>0.16</v>
      </c>
      <c r="H26" s="29"/>
    </row>
    <row r="27" spans="1:17" ht="18" customHeight="1" x14ac:dyDescent="0.45">
      <c r="A27" s="159" t="s">
        <v>64</v>
      </c>
      <c r="B27" s="153"/>
      <c r="C27" s="153"/>
      <c r="D27" s="27">
        <f>F8*D25</f>
        <v>33</v>
      </c>
      <c r="E27" s="27">
        <f>$F$8*E25</f>
        <v>44.1</v>
      </c>
      <c r="F27" s="27">
        <f>F25*$F$8</f>
        <v>28.5</v>
      </c>
      <c r="G27" s="33">
        <f>F8*$G$25</f>
        <v>45</v>
      </c>
      <c r="H27" s="29"/>
      <c r="I27" s="7"/>
      <c r="J27" s="34">
        <f>C20</f>
        <v>0</v>
      </c>
      <c r="K27" s="7">
        <v>0.9</v>
      </c>
      <c r="L27" s="7">
        <v>0.85</v>
      </c>
      <c r="N27" s="4">
        <f>2500*3+1500</f>
        <v>9000</v>
      </c>
    </row>
    <row r="28" spans="1:17" ht="12" customHeight="1" x14ac:dyDescent="0.45">
      <c r="A28" s="159" t="s">
        <v>65</v>
      </c>
      <c r="B28" s="153"/>
      <c r="C28" s="153"/>
      <c r="D28" s="27">
        <f>D27/0.9</f>
        <v>36.666666666666664</v>
      </c>
      <c r="E28" s="27">
        <f>E27/0.9</f>
        <v>49</v>
      </c>
      <c r="F28" s="27">
        <f>F27/0.9</f>
        <v>31.666666666666664</v>
      </c>
      <c r="G28" s="33">
        <f>G27/0.9</f>
        <v>50</v>
      </c>
      <c r="H28" s="29"/>
      <c r="I28" s="7" t="str">
        <f>A22</f>
        <v>Caneg=</v>
      </c>
      <c r="J28" s="7">
        <f>L28+(K28-L28)/(K27-L27)*(K27-J27)</f>
        <v>-2.9999999999999888E-2</v>
      </c>
      <c r="K28" s="35">
        <v>5.5E-2</v>
      </c>
      <c r="L28" s="35">
        <v>0.06</v>
      </c>
    </row>
    <row r="29" spans="1:17" x14ac:dyDescent="0.45">
      <c r="A29" s="159" t="s">
        <v>66</v>
      </c>
      <c r="B29" s="153"/>
      <c r="C29" s="153"/>
      <c r="D29" s="27">
        <f>D28/(F8*D26^2)/1000</f>
        <v>1.2687427912341405</v>
      </c>
      <c r="E29" s="27">
        <f>E28/($F$8*E26^2)/1000</f>
        <v>1.6955017301038058</v>
      </c>
      <c r="F29" s="27">
        <f>F28/($F$8*F26^2)/1000</f>
        <v>1.2369791666666665</v>
      </c>
      <c r="G29" s="33">
        <f>G28/($F$8*G26^2)/1000</f>
        <v>1.953125</v>
      </c>
      <c r="H29" s="29"/>
      <c r="I29" s="7" t="str">
        <f>A23</f>
        <v>Cbneg=</v>
      </c>
      <c r="J29" s="7">
        <f>L29+(K29-L29)/(K27-L27)*(K27-J27)</f>
        <v>0.13899999999999987</v>
      </c>
      <c r="K29" s="35">
        <v>3.6999999999999998E-2</v>
      </c>
      <c r="L29" s="35">
        <v>3.1E-2</v>
      </c>
    </row>
    <row r="30" spans="1:17" x14ac:dyDescent="0.45">
      <c r="A30" s="156" t="s">
        <v>67</v>
      </c>
      <c r="B30" s="157"/>
      <c r="C30" s="157"/>
      <c r="D30" s="36">
        <f>(0.85*$B$6/$B$4)*(1-SQRT(1-(2*D29/(0.85*$B$6))))</f>
        <v>3.3384131319020615E-3</v>
      </c>
      <c r="E30" s="36">
        <f>(0.85*$B$6/$B$4)*(1-SQRT(1-(2*E29/(0.85*$B$6))))</f>
        <v>4.5024628212068868E-3</v>
      </c>
      <c r="F30" s="36">
        <f>(0.85*$B$6/$B$4)*(1-SQRT(1-(2*F29/(0.85*$B$6))))</f>
        <v>3.2526450393293087E-3</v>
      </c>
      <c r="G30" s="37">
        <f>(0.85*$B$6/$B$4)*(1-SQRT(1-(2*G29/(0.85*$B$6))))</f>
        <v>5.2160692431871738E-3</v>
      </c>
      <c r="H30" s="29"/>
    </row>
    <row r="31" spans="1:17" x14ac:dyDescent="0.45">
      <c r="A31" s="156" t="s">
        <v>68</v>
      </c>
      <c r="B31" s="157"/>
      <c r="C31" s="157"/>
      <c r="D31" s="31">
        <f>0.85</f>
        <v>0.85</v>
      </c>
      <c r="E31" s="31">
        <f>0.85</f>
        <v>0.85</v>
      </c>
      <c r="F31" s="31">
        <f>0.85</f>
        <v>0.85</v>
      </c>
      <c r="G31" s="32">
        <f>0.85</f>
        <v>0.85</v>
      </c>
      <c r="H31" s="29"/>
      <c r="I31" s="7"/>
      <c r="J31" s="34">
        <f>C20</f>
        <v>0</v>
      </c>
      <c r="K31" s="7">
        <v>0.9</v>
      </c>
      <c r="L31" s="7">
        <v>0.85</v>
      </c>
    </row>
    <row r="32" spans="1:17" ht="15.75" x14ac:dyDescent="0.45">
      <c r="A32" s="159" t="s">
        <v>69</v>
      </c>
      <c r="B32" s="153"/>
      <c r="C32" s="153"/>
      <c r="D32" s="27">
        <f>D30*F8*D26*10^4</f>
        <v>5.6753023242335052</v>
      </c>
      <c r="E32" s="27">
        <f>E30*F8*E26*10^4</f>
        <v>7.6541867960517074</v>
      </c>
      <c r="F32" s="27">
        <f>F30*$F$8*F26*10^4</f>
        <v>5.2042320629268941</v>
      </c>
      <c r="G32" s="33">
        <f>G30*$F$8*G26*10^4</f>
        <v>8.3457107890994777</v>
      </c>
      <c r="H32" s="29"/>
      <c r="I32" s="7" t="str">
        <f>D22</f>
        <v>CaposDL=</v>
      </c>
      <c r="J32" s="7">
        <f>L32+(K32-L32)/(K31-L31)*(K31-J31)</f>
        <v>-1.2000000000000004E-2</v>
      </c>
      <c r="K32" s="35">
        <v>2.1999999999999999E-2</v>
      </c>
      <c r="L32" s="35">
        <v>2.4E-2</v>
      </c>
      <c r="N32" s="24">
        <v>35</v>
      </c>
      <c r="O32" s="24">
        <v>49</v>
      </c>
      <c r="P32" s="24">
        <v>32</v>
      </c>
      <c r="Q32" s="24">
        <v>51</v>
      </c>
    </row>
    <row r="33" spans="1:12" ht="15.75" x14ac:dyDescent="0.45">
      <c r="A33" s="159" t="s">
        <v>70</v>
      </c>
      <c r="B33" s="153"/>
      <c r="C33" s="153"/>
      <c r="D33" s="27">
        <f>0.0018*$B$4*F7*10^4/413.68</f>
        <v>3.3939276735641073</v>
      </c>
      <c r="E33" s="27">
        <f>0.0018*$B$4*F7*10^4/413.68</f>
        <v>3.3939276735641073</v>
      </c>
      <c r="F33" s="27">
        <f>0.0018*$B$4*F7*10^4/413.68</f>
        <v>3.3939276735641073</v>
      </c>
      <c r="G33" s="33">
        <f>0.0018*$B$4*F7*10^4/413.68</f>
        <v>3.3939276735641073</v>
      </c>
      <c r="I33" s="7" t="str">
        <f>D23</f>
        <v>CbposDL=</v>
      </c>
      <c r="J33" s="7">
        <f>L33+(K33-L33)/(K31-L31)*(K31-J31)</f>
        <v>4.7999999999999973E-2</v>
      </c>
      <c r="K33" s="35">
        <v>1.4E-2</v>
      </c>
      <c r="L33" s="35">
        <v>1.2E-2</v>
      </c>
    </row>
    <row r="34" spans="1:12" ht="15.75" x14ac:dyDescent="0.45">
      <c r="A34" s="159" t="s">
        <v>71</v>
      </c>
      <c r="B34" s="153"/>
      <c r="C34" s="153"/>
      <c r="D34" s="38">
        <f>MAX(D32:D33)</f>
        <v>5.6753023242335052</v>
      </c>
      <c r="E34" s="38">
        <f>MAX(E32:E33)</f>
        <v>7.6541867960517074</v>
      </c>
      <c r="F34" s="38">
        <f>MAX(F32:F33)</f>
        <v>5.2042320629268941</v>
      </c>
      <c r="G34" s="39">
        <f>MAX(G32:G33)</f>
        <v>8.3457107890994777</v>
      </c>
      <c r="I34" s="27"/>
    </row>
    <row r="35" spans="1:12" x14ac:dyDescent="0.45">
      <c r="A35" s="163" t="s">
        <v>35</v>
      </c>
      <c r="B35" s="155"/>
      <c r="C35" s="155"/>
      <c r="D35" s="40">
        <v>12</v>
      </c>
      <c r="E35" s="40">
        <v>12</v>
      </c>
      <c r="F35" s="40">
        <v>12</v>
      </c>
      <c r="G35" s="41">
        <v>12</v>
      </c>
      <c r="I35" s="7"/>
      <c r="J35" s="34">
        <f>C20</f>
        <v>0</v>
      </c>
      <c r="K35" s="7">
        <v>0.9</v>
      </c>
      <c r="L35" s="7">
        <v>0.85</v>
      </c>
    </row>
    <row r="36" spans="1:12" x14ac:dyDescent="0.45">
      <c r="A36" s="159" t="s">
        <v>72</v>
      </c>
      <c r="B36" s="153"/>
      <c r="C36" s="153"/>
      <c r="D36" s="27">
        <f>(D35^2*PI()/4)*F8*1000/D34/100</f>
        <v>199.27984284873713</v>
      </c>
      <c r="E36" s="27">
        <f>(E35^2*PI()/4)*$F$8*1000/E34/100</f>
        <v>147.75878684796672</v>
      </c>
      <c r="F36" s="27">
        <f>(F35^2*PI()/4)*$F$8*1000/F34/100</f>
        <v>217.31800996135033</v>
      </c>
      <c r="G36" s="33">
        <f>(G35^2*PI()/4)*$F$8*1000/G34/100</f>
        <v>135.51552214935552</v>
      </c>
      <c r="I36" s="7" t="str">
        <f>F22</f>
        <v>CaposLL=</v>
      </c>
      <c r="J36" s="7">
        <f>L36+(K36-L36)/(K35-L35)*(K35-J35)</f>
        <v>-1.6999999999999876E-2</v>
      </c>
      <c r="K36" s="35">
        <v>3.4000000000000002E-2</v>
      </c>
      <c r="L36" s="35">
        <v>3.6999999999999998E-2</v>
      </c>
    </row>
    <row r="37" spans="1:12" x14ac:dyDescent="0.45">
      <c r="A37" s="159" t="s">
        <v>73</v>
      </c>
      <c r="B37" s="153"/>
      <c r="C37" s="153"/>
      <c r="D37" s="31">
        <f>MIN(2*$F$7*1000,450)</f>
        <v>400</v>
      </c>
      <c r="E37" s="31">
        <f>MIN(2*$F$7*1000,450)</f>
        <v>400</v>
      </c>
      <c r="F37" s="31">
        <f>MIN(2*$F$7*1000,450)</f>
        <v>400</v>
      </c>
      <c r="G37" s="32">
        <f>MIN(2*$F$7*1000,450)</f>
        <v>400</v>
      </c>
      <c r="I37" s="7" t="str">
        <f>F23</f>
        <v>CbposLL=</v>
      </c>
      <c r="J37" s="7">
        <f>L37+(K37-L37)/(K35-L35)*(K35-J35)</f>
        <v>7.299999999999994E-2</v>
      </c>
      <c r="K37" s="35">
        <v>2.1999999999999999E-2</v>
      </c>
      <c r="L37" s="35">
        <v>1.9E-2</v>
      </c>
    </row>
    <row r="38" spans="1:12" x14ac:dyDescent="0.45">
      <c r="A38" s="163" t="s">
        <v>74</v>
      </c>
      <c r="B38" s="155"/>
      <c r="C38" s="155"/>
      <c r="D38" s="42">
        <v>150</v>
      </c>
      <c r="E38" s="42">
        <v>100</v>
      </c>
      <c r="F38" s="42">
        <v>150</v>
      </c>
      <c r="G38" s="43">
        <v>100</v>
      </c>
    </row>
    <row r="39" spans="1:12" ht="15.75" x14ac:dyDescent="0.45">
      <c r="A39" s="164" t="s">
        <v>75</v>
      </c>
      <c r="B39" s="165"/>
      <c r="C39" s="165"/>
      <c r="D39" s="44">
        <f>F8*(D35^2*PI()/4)/D38*10</f>
        <v>7.5398223686155035</v>
      </c>
      <c r="E39" s="44">
        <f>F8*(E35^2*PI()/4)/E38*10</f>
        <v>11.309733552923255</v>
      </c>
      <c r="F39" s="44">
        <f>$F$8*(F35^2*PI()/4)/F38*10</f>
        <v>7.5398223686155035</v>
      </c>
      <c r="G39" s="45">
        <f>$F$8*(G35^2*PI()/4)/G38*10</f>
        <v>11.309733552923255</v>
      </c>
    </row>
    <row r="40" spans="1:12" ht="15" customHeight="1" thickBot="1" x14ac:dyDescent="0.5">
      <c r="A40" s="166" t="s">
        <v>76</v>
      </c>
      <c r="B40" s="167"/>
      <c r="C40" s="167"/>
      <c r="D40" s="46">
        <f>D39/D34</f>
        <v>1.3285322856582475</v>
      </c>
      <c r="E40" s="46">
        <f>E39/E34</f>
        <v>1.4775878684796673</v>
      </c>
      <c r="F40" s="46">
        <f>F39/F34</f>
        <v>1.4487867330756687</v>
      </c>
      <c r="G40" s="47">
        <f>G39/G34</f>
        <v>1.3551552214935552</v>
      </c>
    </row>
    <row r="41" spans="1:12" x14ac:dyDescent="0.45">
      <c r="D41" s="48" t="str">
        <f>IF(D40&gt;1,"OK","NO")</f>
        <v>OK</v>
      </c>
      <c r="E41" s="48" t="str">
        <f t="shared" ref="E41:G41" si="0">IF(E40&gt;1,"OK","NO")</f>
        <v>OK</v>
      </c>
      <c r="F41" s="48" t="str">
        <f t="shared" si="0"/>
        <v>OK</v>
      </c>
      <c r="G41" s="48" t="str">
        <f t="shared" si="0"/>
        <v>OK</v>
      </c>
    </row>
    <row r="42" spans="1:12" ht="14.65" thickBot="1" x14ac:dyDescent="0.5"/>
    <row r="43" spans="1:12" ht="15.75" x14ac:dyDescent="0.45">
      <c r="A43" s="49" t="s">
        <v>77</v>
      </c>
      <c r="B43" s="50"/>
      <c r="C43" s="50"/>
      <c r="D43" s="51"/>
      <c r="E43" s="50"/>
      <c r="F43" s="50"/>
      <c r="G43" s="52"/>
      <c r="H43" s="53"/>
    </row>
    <row r="44" spans="1:12" x14ac:dyDescent="0.45">
      <c r="A44" s="11" t="s">
        <v>78</v>
      </c>
      <c r="B44" s="3">
        <f>4700*SQRT($B$6)</f>
        <v>25742.960202742808</v>
      </c>
      <c r="C44" s="4" t="s">
        <v>5</v>
      </c>
      <c r="D44" s="9"/>
      <c r="E44" s="54" t="s">
        <v>79</v>
      </c>
      <c r="F44" s="54">
        <v>3</v>
      </c>
      <c r="G44" s="55"/>
      <c r="H44" s="3"/>
    </row>
    <row r="45" spans="1:12" ht="15.75" x14ac:dyDescent="0.45">
      <c r="A45" s="11" t="s">
        <v>80</v>
      </c>
      <c r="B45" s="56">
        <f>F8*F7^3/12</f>
        <v>6.6666666666666686E-4</v>
      </c>
      <c r="C45" s="4" t="s">
        <v>81</v>
      </c>
      <c r="D45" s="3"/>
      <c r="E45" s="168" t="s">
        <v>82</v>
      </c>
      <c r="F45" s="169"/>
      <c r="G45" s="170"/>
    </row>
    <row r="46" spans="1:12" x14ac:dyDescent="0.45">
      <c r="A46" s="11" t="s">
        <v>83</v>
      </c>
      <c r="B46" s="3">
        <f>0.63*SQRT($B$6)</f>
        <v>3.4506521122825466</v>
      </c>
      <c r="C46" s="4" t="s">
        <v>5</v>
      </c>
      <c r="D46" s="3"/>
      <c r="E46" s="57" t="s">
        <v>84</v>
      </c>
      <c r="F46" s="58">
        <f>1000*B53*F4^2*$F$8/(16*$B$44*$B$51*1000)</f>
        <v>6.6627555711119655</v>
      </c>
      <c r="G46" s="55" t="s">
        <v>36</v>
      </c>
    </row>
    <row r="47" spans="1:12" x14ac:dyDescent="0.45">
      <c r="A47" s="11" t="s">
        <v>85</v>
      </c>
      <c r="B47" s="3">
        <f>F7/2</f>
        <v>0.1</v>
      </c>
      <c r="C47" s="4" t="s">
        <v>7</v>
      </c>
      <c r="E47" s="59" t="s">
        <v>86</v>
      </c>
      <c r="F47" s="58">
        <f>1000*B54*F5^2*$F$8/(16*$B$44*$B$51*1000)</f>
        <v>11.641166533846828</v>
      </c>
      <c r="G47" s="55" t="s">
        <v>36</v>
      </c>
    </row>
    <row r="48" spans="1:12" x14ac:dyDescent="0.45">
      <c r="A48" s="11" t="s">
        <v>87</v>
      </c>
      <c r="B48" s="24">
        <f>B46*B45*1000/B47</f>
        <v>23.004347415216984</v>
      </c>
      <c r="C48" s="4" t="s">
        <v>88</v>
      </c>
      <c r="D48" s="3"/>
      <c r="E48" s="59" t="s">
        <v>89</v>
      </c>
      <c r="F48" s="58">
        <f>(F46+F47)/2</f>
        <v>9.1519610524793968</v>
      </c>
      <c r="G48" s="55" t="s">
        <v>36</v>
      </c>
    </row>
    <row r="49" spans="1:15" x14ac:dyDescent="0.45">
      <c r="A49" s="11" t="s">
        <v>90</v>
      </c>
      <c r="B49" s="60">
        <f>B5/B44</f>
        <v>7.7691142908534196</v>
      </c>
      <c r="D49" s="3"/>
      <c r="E49" s="61" t="s">
        <v>91</v>
      </c>
      <c r="F49" s="58">
        <f>F48*F44/2</f>
        <v>13.727941578719095</v>
      </c>
      <c r="G49" s="55" t="s">
        <v>36</v>
      </c>
    </row>
    <row r="50" spans="1:15" x14ac:dyDescent="0.45">
      <c r="A50" s="11" t="s">
        <v>92</v>
      </c>
      <c r="B50" s="18">
        <f>(-K25+SQRT(K25^2+2*K25*F8*E26))/F8</f>
        <v>9.422207506320994E-2</v>
      </c>
      <c r="C50" s="4" t="s">
        <v>7</v>
      </c>
      <c r="E50" s="168" t="s">
        <v>93</v>
      </c>
      <c r="F50" s="169"/>
      <c r="G50" s="170"/>
    </row>
    <row r="51" spans="1:15" ht="15.75" x14ac:dyDescent="0.45">
      <c r="A51" s="11" t="s">
        <v>94</v>
      </c>
      <c r="B51" s="56">
        <f>(F8*B50^3/3)+(B49*D39/10000*(E26-B50)^2)</f>
        <v>3.1246528900949564E-4</v>
      </c>
      <c r="C51" s="4" t="s">
        <v>81</v>
      </c>
      <c r="E51" s="62" t="s">
        <v>95</v>
      </c>
      <c r="F51" s="58">
        <f>1000*3*B55*F4^2*$F$8/(32*$B$44*$B$51*1000)</f>
        <v>4.2832000100005487</v>
      </c>
      <c r="G51" s="55" t="s">
        <v>36</v>
      </c>
      <c r="H51" s="63"/>
      <c r="J51" s="153"/>
      <c r="K51" s="153"/>
      <c r="L51" s="153"/>
      <c r="M51" s="3"/>
      <c r="N51" s="3"/>
      <c r="O51" s="3"/>
    </row>
    <row r="52" spans="1:15" ht="15.75" x14ac:dyDescent="0.45">
      <c r="A52" s="11" t="s">
        <v>96</v>
      </c>
      <c r="B52" s="56">
        <f>(B48/B53)^3*B45+(1-(B48/B53)^3)*B51</f>
        <v>1.1170390280083502E-3</v>
      </c>
      <c r="C52" s="4" t="s">
        <v>81</v>
      </c>
      <c r="E52" s="62" t="s">
        <v>97</v>
      </c>
      <c r="F52" s="58">
        <f>1000*3*B56*F5^2*$F$8/(32*$B$44*$B$51*1000)</f>
        <v>6.7160576156808629</v>
      </c>
      <c r="G52" s="55" t="s">
        <v>36</v>
      </c>
      <c r="J52" s="173"/>
      <c r="K52" s="173"/>
      <c r="L52" s="173"/>
      <c r="M52" s="3"/>
      <c r="N52" s="3"/>
      <c r="O52" s="3"/>
    </row>
    <row r="53" spans="1:15" ht="15.75" x14ac:dyDescent="0.45">
      <c r="A53" s="11" t="s">
        <v>98</v>
      </c>
      <c r="B53" s="24">
        <v>17.5</v>
      </c>
      <c r="C53" s="4" t="s">
        <v>88</v>
      </c>
      <c r="E53" s="62" t="s">
        <v>99</v>
      </c>
      <c r="F53" s="58">
        <f>(F51+F52)/2</f>
        <v>5.4996288128407063</v>
      </c>
      <c r="G53" s="64" t="s">
        <v>36</v>
      </c>
      <c r="J53" s="173"/>
      <c r="K53" s="173"/>
      <c r="L53" s="173"/>
      <c r="M53" s="3"/>
      <c r="N53" s="65"/>
      <c r="O53" s="65"/>
    </row>
    <row r="54" spans="1:15" ht="15.75" x14ac:dyDescent="0.45">
      <c r="A54" s="11" t="s">
        <v>100</v>
      </c>
      <c r="B54" s="24">
        <v>15.6</v>
      </c>
      <c r="C54" s="4" t="s">
        <v>88</v>
      </c>
      <c r="E54" s="168" t="s">
        <v>101</v>
      </c>
      <c r="F54" s="169"/>
      <c r="G54" s="170"/>
      <c r="J54" s="173"/>
      <c r="K54" s="173"/>
      <c r="L54" s="173"/>
      <c r="M54" s="3"/>
      <c r="N54" s="65"/>
      <c r="O54" s="65"/>
    </row>
    <row r="55" spans="1:15" ht="15.75" x14ac:dyDescent="0.45">
      <c r="A55" s="11" t="s">
        <v>102</v>
      </c>
      <c r="B55" s="24">
        <v>7.5</v>
      </c>
      <c r="C55" s="4" t="s">
        <v>88</v>
      </c>
      <c r="E55" s="62" t="s">
        <v>103</v>
      </c>
      <c r="F55" s="66">
        <f>F49+F53</f>
        <v>19.227570391559802</v>
      </c>
      <c r="G55" s="55" t="s">
        <v>36</v>
      </c>
      <c r="J55" s="173"/>
      <c r="K55" s="173"/>
      <c r="L55" s="173"/>
      <c r="M55" s="3"/>
      <c r="N55" s="65"/>
      <c r="O55" s="65"/>
    </row>
    <row r="56" spans="1:15" ht="15.75" x14ac:dyDescent="0.45">
      <c r="A56" s="11" t="s">
        <v>104</v>
      </c>
      <c r="B56" s="24">
        <v>6</v>
      </c>
      <c r="C56" s="4" t="s">
        <v>88</v>
      </c>
      <c r="E56" s="62" t="s">
        <v>105</v>
      </c>
      <c r="F56" s="137">
        <f>F4/240*1000</f>
        <v>29.166666666666668</v>
      </c>
      <c r="G56" s="67" t="s">
        <v>36</v>
      </c>
      <c r="K56" s="68"/>
      <c r="L56" s="68"/>
    </row>
    <row r="57" spans="1:15" ht="15" x14ac:dyDescent="0.45">
      <c r="A57" s="8"/>
      <c r="F57" s="174" t="str">
        <f>IF((F55/F56)&lt;1,"OK","NO")</f>
        <v>OK</v>
      </c>
      <c r="G57" s="175"/>
      <c r="K57" s="68"/>
      <c r="L57" s="68"/>
    </row>
    <row r="58" spans="1:15" ht="15" x14ac:dyDescent="0.45">
      <c r="A58" s="8"/>
      <c r="G58" s="10"/>
      <c r="K58" s="68"/>
      <c r="L58" s="68"/>
    </row>
    <row r="59" spans="1:15" ht="15" x14ac:dyDescent="0.45">
      <c r="A59" s="8"/>
      <c r="B59" s="168" t="s">
        <v>106</v>
      </c>
      <c r="C59" s="169"/>
      <c r="D59" s="171"/>
      <c r="E59" s="62" t="s">
        <v>35</v>
      </c>
      <c r="F59" s="62" t="s">
        <v>107</v>
      </c>
      <c r="G59" s="10"/>
      <c r="K59" s="68"/>
      <c r="L59" s="69"/>
    </row>
    <row r="60" spans="1:15" ht="15" x14ac:dyDescent="0.45">
      <c r="A60" s="8"/>
      <c r="B60" s="172" t="s">
        <v>108</v>
      </c>
      <c r="C60" s="172"/>
      <c r="D60" s="62" t="s">
        <v>109</v>
      </c>
      <c r="E60" s="70">
        <f>K13</f>
        <v>10</v>
      </c>
      <c r="F60" s="71">
        <f>D38</f>
        <v>150</v>
      </c>
      <c r="G60" s="10"/>
      <c r="K60" s="68"/>
      <c r="L60" s="68"/>
    </row>
    <row r="61" spans="1:15" ht="16.5" customHeight="1" x14ac:dyDescent="0.45">
      <c r="A61" s="8"/>
      <c r="B61" s="172"/>
      <c r="C61" s="172"/>
      <c r="D61" s="62" t="s">
        <v>110</v>
      </c>
      <c r="E61" s="70">
        <f>E60</f>
        <v>10</v>
      </c>
      <c r="F61" s="71">
        <f>F38</f>
        <v>150</v>
      </c>
      <c r="G61" s="72"/>
      <c r="K61" s="68"/>
      <c r="L61" s="68"/>
    </row>
    <row r="62" spans="1:15" ht="16.5" customHeight="1" x14ac:dyDescent="0.45">
      <c r="A62" s="8"/>
      <c r="B62" s="172" t="s">
        <v>111</v>
      </c>
      <c r="C62" s="172"/>
      <c r="D62" s="62" t="s">
        <v>109</v>
      </c>
      <c r="E62" s="70">
        <f t="shared" ref="E62:E63" si="1">E61</f>
        <v>10</v>
      </c>
      <c r="F62" s="71">
        <f>E38</f>
        <v>100</v>
      </c>
      <c r="G62" s="10"/>
      <c r="K62" s="68"/>
      <c r="L62" s="68"/>
    </row>
    <row r="63" spans="1:15" ht="16.5" customHeight="1" x14ac:dyDescent="0.45">
      <c r="A63" s="8"/>
      <c r="B63" s="172"/>
      <c r="C63" s="172"/>
      <c r="D63" s="62" t="s">
        <v>110</v>
      </c>
      <c r="E63" s="70">
        <f t="shared" si="1"/>
        <v>10</v>
      </c>
      <c r="F63" s="71">
        <f>G38</f>
        <v>100</v>
      </c>
      <c r="G63" s="10"/>
      <c r="K63" s="68"/>
      <c r="L63" s="68"/>
    </row>
    <row r="64" spans="1:15" ht="16.5" customHeight="1" x14ac:dyDescent="0.45">
      <c r="A64" s="8"/>
      <c r="D64" s="73"/>
      <c r="E64" s="3"/>
      <c r="F64" s="3"/>
      <c r="G64" s="10"/>
      <c r="K64" s="68"/>
      <c r="L64" s="68"/>
    </row>
    <row r="65" spans="1:12" ht="15" customHeight="1" x14ac:dyDescent="0.45">
      <c r="A65" s="8"/>
      <c r="D65" s="3"/>
      <c r="E65" s="3"/>
      <c r="F65" s="3"/>
      <c r="G65" s="10"/>
      <c r="K65" s="68"/>
      <c r="L65" s="68"/>
    </row>
    <row r="66" spans="1:12" ht="15" customHeight="1" x14ac:dyDescent="0.45">
      <c r="A66" s="8"/>
      <c r="E66" s="3"/>
      <c r="F66" s="3"/>
      <c r="G66" s="10"/>
      <c r="K66" s="68"/>
      <c r="L66" s="68"/>
    </row>
    <row r="67" spans="1:12" x14ac:dyDescent="0.45">
      <c r="A67" s="8"/>
      <c r="E67" s="3"/>
      <c r="F67" s="3"/>
      <c r="G67" s="10"/>
    </row>
    <row r="68" spans="1:12" x14ac:dyDescent="0.45">
      <c r="A68" s="8"/>
      <c r="E68" s="3"/>
      <c r="F68" s="3"/>
      <c r="G68" s="10"/>
    </row>
    <row r="69" spans="1:12" ht="19.5" customHeight="1" x14ac:dyDescent="0.45">
      <c r="A69" s="8"/>
      <c r="E69" s="3"/>
      <c r="F69" s="3"/>
      <c r="G69" s="10"/>
    </row>
    <row r="70" spans="1:12" x14ac:dyDescent="0.45">
      <c r="A70" s="8"/>
      <c r="E70" s="3"/>
      <c r="F70" s="3"/>
      <c r="G70" s="10"/>
    </row>
    <row r="71" spans="1:12" ht="15" customHeight="1" x14ac:dyDescent="0.45">
      <c r="A71" s="8"/>
      <c r="E71" s="3"/>
      <c r="F71" s="3"/>
      <c r="G71" s="10"/>
    </row>
    <row r="72" spans="1:12" ht="15" customHeight="1" thickBot="1" x14ac:dyDescent="0.5">
      <c r="A72" s="74"/>
      <c r="B72" s="75"/>
      <c r="C72" s="75"/>
      <c r="D72" s="75"/>
      <c r="E72" s="76"/>
      <c r="F72" s="76"/>
      <c r="G72" s="77"/>
    </row>
    <row r="73" spans="1:12" x14ac:dyDescent="0.45">
      <c r="E73" s="3"/>
      <c r="F73" s="3"/>
    </row>
    <row r="74" spans="1:12" x14ac:dyDescent="0.45">
      <c r="E74" s="3"/>
      <c r="F74" s="3"/>
    </row>
    <row r="84" spans="1:5" ht="15.75" x14ac:dyDescent="0.45">
      <c r="A84" s="53"/>
      <c r="B84" s="3"/>
      <c r="C84" s="53"/>
      <c r="D84" s="3"/>
    </row>
    <row r="85" spans="1:5" x14ac:dyDescent="0.45">
      <c r="A85" s="3"/>
      <c r="B85" s="78"/>
      <c r="C85" s="3"/>
      <c r="D85" s="3"/>
    </row>
    <row r="87" spans="1:5" x14ac:dyDescent="0.45">
      <c r="B87" s="24"/>
      <c r="D87" s="24"/>
    </row>
    <row r="88" spans="1:5" x14ac:dyDescent="0.45">
      <c r="B88" s="24"/>
      <c r="D88" s="24"/>
    </row>
    <row r="89" spans="1:5" x14ac:dyDescent="0.45">
      <c r="B89" s="24"/>
      <c r="D89" s="24"/>
    </row>
    <row r="90" spans="1:5" x14ac:dyDescent="0.45">
      <c r="B90" s="18"/>
      <c r="D90" s="18"/>
    </row>
    <row r="91" spans="1:5" ht="20.25" customHeight="1" x14ac:dyDescent="0.45">
      <c r="B91" s="24"/>
      <c r="D91" s="24"/>
    </row>
    <row r="92" spans="1:5" ht="19.5" customHeight="1" x14ac:dyDescent="0.45">
      <c r="B92" s="24"/>
      <c r="D92" s="24"/>
    </row>
    <row r="93" spans="1:5" x14ac:dyDescent="0.45">
      <c r="B93" s="24"/>
      <c r="D93" s="24"/>
    </row>
    <row r="95" spans="1:5" x14ac:dyDescent="0.45">
      <c r="E95" s="79"/>
    </row>
    <row r="96" spans="1:5" x14ac:dyDescent="0.45">
      <c r="A96" s="80"/>
      <c r="B96" s="80"/>
      <c r="C96" s="80"/>
      <c r="D96" s="80"/>
      <c r="E96" s="81"/>
    </row>
    <row r="97" spans="1:5" x14ac:dyDescent="0.45">
      <c r="E97" s="81"/>
    </row>
    <row r="98" spans="1:5" x14ac:dyDescent="0.45">
      <c r="E98" s="81"/>
    </row>
    <row r="99" spans="1:5" ht="18" customHeight="1" x14ac:dyDescent="0.45">
      <c r="E99" s="81"/>
    </row>
    <row r="100" spans="1:5" x14ac:dyDescent="0.45">
      <c r="E100" s="81"/>
    </row>
    <row r="101" spans="1:5" x14ac:dyDescent="0.45">
      <c r="E101" s="81"/>
    </row>
    <row r="102" spans="1:5" x14ac:dyDescent="0.45">
      <c r="E102" s="81"/>
    </row>
    <row r="103" spans="1:5" x14ac:dyDescent="0.45">
      <c r="E103" s="81"/>
    </row>
    <row r="104" spans="1:5" x14ac:dyDescent="0.45">
      <c r="E104" s="81"/>
    </row>
    <row r="105" spans="1:5" x14ac:dyDescent="0.45">
      <c r="E105" s="81"/>
    </row>
    <row r="106" spans="1:5" x14ac:dyDescent="0.45">
      <c r="E106" s="81"/>
    </row>
    <row r="107" spans="1:5" x14ac:dyDescent="0.45">
      <c r="E107" s="81"/>
    </row>
    <row r="108" spans="1:5" x14ac:dyDescent="0.45">
      <c r="E108" s="81"/>
    </row>
    <row r="109" spans="1:5" x14ac:dyDescent="0.45">
      <c r="E109" s="81"/>
    </row>
    <row r="110" spans="1:5" x14ac:dyDescent="0.45">
      <c r="E110" s="82"/>
    </row>
    <row r="111" spans="1:5" x14ac:dyDescent="0.45">
      <c r="A111" s="83"/>
      <c r="B111" s="83"/>
      <c r="C111" s="83"/>
      <c r="D111" s="83"/>
    </row>
    <row r="117" ht="15.75" customHeight="1" x14ac:dyDescent="0.45"/>
    <row r="118" ht="15.75" customHeight="1" x14ac:dyDescent="0.45"/>
    <row r="130" ht="87.75" customHeight="1" x14ac:dyDescent="0.45"/>
  </sheetData>
  <mergeCells count="41">
    <mergeCell ref="B59:D59"/>
    <mergeCell ref="B60:C61"/>
    <mergeCell ref="B62:C63"/>
    <mergeCell ref="J52:L52"/>
    <mergeCell ref="J53:L53"/>
    <mergeCell ref="E54:G54"/>
    <mergeCell ref="J54:L54"/>
    <mergeCell ref="J55:L55"/>
    <mergeCell ref="F57:G57"/>
    <mergeCell ref="J51:L51"/>
    <mergeCell ref="A32:C32"/>
    <mergeCell ref="A33:C33"/>
    <mergeCell ref="A34:C34"/>
    <mergeCell ref="A35:C35"/>
    <mergeCell ref="A36:C36"/>
    <mergeCell ref="A37:C37"/>
    <mergeCell ref="A38:C38"/>
    <mergeCell ref="A39:C39"/>
    <mergeCell ref="A40:C40"/>
    <mergeCell ref="E45:G45"/>
    <mergeCell ref="E50:G50"/>
    <mergeCell ref="A31:C31"/>
    <mergeCell ref="D15:G20"/>
    <mergeCell ref="A20:B20"/>
    <mergeCell ref="A21:B21"/>
    <mergeCell ref="B22:C22"/>
    <mergeCell ref="B23:C23"/>
    <mergeCell ref="A24:C25"/>
    <mergeCell ref="A26:C26"/>
    <mergeCell ref="A27:C27"/>
    <mergeCell ref="A28:C28"/>
    <mergeCell ref="A29:C29"/>
    <mergeCell ref="A30:C30"/>
    <mergeCell ref="A1:G1"/>
    <mergeCell ref="A2:C2"/>
    <mergeCell ref="F2:G2"/>
    <mergeCell ref="A10:C10"/>
    <mergeCell ref="A11:A12"/>
    <mergeCell ref="D11:D12"/>
    <mergeCell ref="E11:E12"/>
    <mergeCell ref="F11:F12"/>
  </mergeCells>
  <printOptions horizontalCentered="1"/>
  <pageMargins left="0.25" right="0.25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 codeName="Sheet65"/>
  <dimension ref="A1:R51"/>
  <sheetViews>
    <sheetView view="pageLayout" topLeftCell="A53" zoomScaleNormal="100" workbookViewId="0">
      <selection activeCell="D21" sqref="D21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80*10^6</f>
        <v>80000000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51*10^6</f>
        <v>51000000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42*10^6</f>
        <v>42000000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200</v>
      </c>
      <c r="C8" s="98" t="s">
        <v>36</v>
      </c>
      <c r="E8" s="96" t="s">
        <v>132</v>
      </c>
      <c r="F8" s="95">
        <f>3*10^6</f>
        <v>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v>50000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9800</v>
      </c>
      <c r="C10" s="98" t="s">
        <v>36</v>
      </c>
      <c r="E10" s="96" t="s">
        <v>139</v>
      </c>
      <c r="F10" s="99">
        <f>F7+F8</f>
        <v>45000000</v>
      </c>
      <c r="G10" s="97" t="s">
        <v>123</v>
      </c>
      <c r="J10" s="85" t="s">
        <v>140</v>
      </c>
      <c r="K10" s="85">
        <f>B8*B12</f>
        <v>123400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1.1674738288851121</v>
      </c>
      <c r="C15" s="110">
        <f>$F$6/($F$11*B8*B12^2)</f>
        <v>0.74426456591425894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3.0653785767828308E-3</v>
      </c>
      <c r="C16" s="114">
        <f>0.85*$B$5/$B$6*(1-SQRT(1-(2*C15/(0.85*$B$5))))</f>
        <v>1.9370641087116513E-3</v>
      </c>
      <c r="E16" s="96" t="s">
        <v>151</v>
      </c>
      <c r="F16" s="110">
        <f>B22*$B$6/(0.85*$B$5*$B$8)</f>
        <v>48.047887643138019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3.5897435897435893E-3</v>
      </c>
      <c r="C18" s="114">
        <f>MAX(C16:C17)</f>
        <v>3.5897435897435893E-3</v>
      </c>
      <c r="E18" s="96" t="s">
        <v>155</v>
      </c>
      <c r="F18" s="115">
        <f>0.003*($B$12-F17)/F17</f>
        <v>2.9745456193321307E-2</v>
      </c>
      <c r="G18" s="116">
        <f>0.003*($B$12-G17)/G17</f>
        <v>2.9745456193321307E-2</v>
      </c>
    </row>
    <row r="19" spans="1:18" ht="18" customHeight="1" x14ac:dyDescent="0.45">
      <c r="A19" s="94" t="s">
        <v>156</v>
      </c>
      <c r="B19" s="110">
        <f>$K$10*B18</f>
        <v>442.97435897435889</v>
      </c>
      <c r="C19" s="117">
        <f>$K$10*C18</f>
        <v>442.97435897435889</v>
      </c>
      <c r="E19" s="96" t="s">
        <v>157</v>
      </c>
      <c r="F19" s="118">
        <f>B22*$B$6*($B$12-F16/2)</f>
        <v>145305359.30389497</v>
      </c>
      <c r="G19" s="119">
        <f>C22*$B$6*($B$12-G16/2)</f>
        <v>145305359.30389497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130774823.37350547</v>
      </c>
      <c r="G20" s="119">
        <f>$F$11*G19</f>
        <v>130774823.37350547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2</v>
      </c>
      <c r="C21" s="95">
        <v>2</v>
      </c>
      <c r="E21" s="96" t="s">
        <v>76</v>
      </c>
      <c r="F21" s="120">
        <f>F20/F5</f>
        <v>1.6346852921688184</v>
      </c>
      <c r="G21" s="121">
        <f>G20/F6</f>
        <v>2.5642122230099114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628.31853071795865</v>
      </c>
      <c r="C22" s="123">
        <f>C20^2*PI()/4*C21</f>
        <v>628.31853071795865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86175.928585075308</v>
      </c>
      <c r="C24" s="85" t="s">
        <v>136</v>
      </c>
      <c r="E24" s="96" t="s">
        <v>169</v>
      </c>
      <c r="F24" s="99">
        <f>F9</f>
        <v>50000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43087.964292537654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308.5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3914751883.333333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37982934.468378551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150.84797273241287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1289571596.3014758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0.90435558258044169</v>
      </c>
      <c r="D38" s="118">
        <f>$B$34/F10</f>
        <v>0.8440652104084122</v>
      </c>
      <c r="E38" s="118">
        <f>B34/F8</f>
        <v>12.660978156126184</v>
      </c>
      <c r="F38" s="118">
        <f>B34/(F7+0.5*F8)</f>
        <v>0.87317090731904712</v>
      </c>
      <c r="G38" s="119">
        <f>MAX($B$34,($F$7+0.5*$F$8))</f>
        <v>43500000</v>
      </c>
    </row>
    <row r="39" spans="1:7" ht="18" customHeight="1" x14ac:dyDescent="0.45">
      <c r="A39" s="189" t="s">
        <v>193</v>
      </c>
      <c r="B39" s="190"/>
      <c r="C39" s="118">
        <f>C38^3*$B$32+(1-C38^3)*$B$36</f>
        <v>3231247789.9248037</v>
      </c>
      <c r="D39" s="118">
        <f>D38^3*$B$32+(1-D38^3)*$B$36</f>
        <v>2868226255.6503382</v>
      </c>
      <c r="E39" s="118">
        <f>$B$32*($B$34/E38)^3+(1-($B$34/E38)^3)*$B$36</f>
        <v>7.0879867749860138E+28</v>
      </c>
      <c r="F39" s="118">
        <f>$B$32*($B$34/F38)^3+(1-($B$34/F38)^3)*$B$36</f>
        <v>2.160861368189174E+32</v>
      </c>
      <c r="G39" s="119">
        <f>$B$32*($B$34/G38)^3+(1-($B$34/G38)^3)*$B$36</f>
        <v>3037231434.8524332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5.051280201007585</v>
      </c>
      <c r="D40" s="110">
        <f>(5/48)*$F$10*$B$10^2/($F$31*$C$39)</f>
        <v>5.412085929650984</v>
      </c>
      <c r="E40" s="110">
        <f>D40-C40</f>
        <v>0.36080572864339899</v>
      </c>
      <c r="F40" s="110">
        <f>(5/48)*(F7+0.5*F8)*$B$10^2/($F$31*$C$39)</f>
        <v>5.2316830653292845</v>
      </c>
      <c r="G40" s="112">
        <f>F40-C40</f>
        <v>0.1804028643216995</v>
      </c>
    </row>
    <row r="41" spans="1:7" ht="18" customHeight="1" x14ac:dyDescent="0.45">
      <c r="A41" s="94" t="s">
        <v>195</v>
      </c>
      <c r="B41" s="110">
        <f>E40+(C40*F34)+(G40*F35)</f>
        <v>10.788091286437629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40.833333333333336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 codeName="Sheet28"/>
  <dimension ref="A1:R51"/>
  <sheetViews>
    <sheetView view="pageLayout" topLeftCell="A7" zoomScaleNormal="100" workbookViewId="0">
      <selection activeCell="G42" sqref="A3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207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313*10^6</f>
        <v>313000000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225*10^6</f>
        <v>225000000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124*10^6</f>
        <v>124000000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48*10^6</f>
        <v>48000000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248*10^3</f>
        <v>248000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7000</v>
      </c>
      <c r="C10" s="98" t="s">
        <v>36</v>
      </c>
      <c r="E10" s="96" t="s">
        <v>139</v>
      </c>
      <c r="F10" s="99">
        <f>F7+F8</f>
        <v>172000000</v>
      </c>
      <c r="G10" s="97" t="s">
        <v>123</v>
      </c>
      <c r="J10" s="85" t="s">
        <v>140</v>
      </c>
      <c r="K10" s="85">
        <f>B8*B12</f>
        <v>246800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2.2838706777565005</v>
      </c>
      <c r="C15" s="110">
        <f>$F$6/($F$11*B8*B12^2)</f>
        <v>1.641760071869689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6.1448227855334884E-3</v>
      </c>
      <c r="C16" s="114">
        <f>0.85*$B$5/$B$6*(1-SQRT(1-(2*C15/(0.85*$B$5))))</f>
        <v>4.3546523651436086E-3</v>
      </c>
      <c r="E16" s="96" t="s">
        <v>151</v>
      </c>
      <c r="F16" s="110">
        <f>B22*$B$6/(0.85*$B$5*$B$8)</f>
        <v>72.071831464707017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6.1448227855334884E-3</v>
      </c>
      <c r="C18" s="114">
        <f>MAX(C16:C17)</f>
        <v>4.3546523651436086E-3</v>
      </c>
      <c r="E18" s="96" t="s">
        <v>155</v>
      </c>
      <c r="F18" s="115">
        <f>0.003*($B$12-F17)/F17</f>
        <v>1.8830304128880874E-2</v>
      </c>
      <c r="G18" s="116">
        <f>0.003*($B$12-G17)/G17</f>
        <v>2.9745456193321307E-2</v>
      </c>
    </row>
    <row r="19" spans="1:18" ht="18" customHeight="1" x14ac:dyDescent="0.45">
      <c r="A19" s="94" t="s">
        <v>156</v>
      </c>
      <c r="B19" s="110">
        <f>$K$10*B18</f>
        <v>1516.5422634696649</v>
      </c>
      <c r="C19" s="117">
        <f>$K$10*C18</f>
        <v>1074.7282037174425</v>
      </c>
      <c r="E19" s="96" t="s">
        <v>157</v>
      </c>
      <c r="F19" s="118">
        <f>B22*$B$6*($B$12-F16/2)</f>
        <v>427085684.79753381</v>
      </c>
      <c r="G19" s="119">
        <f>C22*$B$6*($B$12-G16/2)</f>
        <v>290610718.60778993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384377116.31778044</v>
      </c>
      <c r="G20" s="119">
        <f>$F$11*G19</f>
        <v>261549646.74701095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6</v>
      </c>
      <c r="C21" s="95">
        <v>4</v>
      </c>
      <c r="E21" s="96" t="s">
        <v>76</v>
      </c>
      <c r="F21" s="120">
        <f>F20/F5</f>
        <v>1.2280419051686275</v>
      </c>
      <c r="G21" s="121">
        <f>G20/F6</f>
        <v>1.1624428744311597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1884.9555921538758</v>
      </c>
      <c r="C22" s="123">
        <f>C20^2*PI()/4*C21</f>
        <v>1256.6370614359173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172351.85717015062</v>
      </c>
      <c r="C24" s="85" t="s">
        <v>136</v>
      </c>
      <c r="E24" s="96" t="s">
        <v>169</v>
      </c>
      <c r="F24" s="99">
        <f>F9</f>
        <v>248000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86175.928585075308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75648.142829849385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135.29155509050136</v>
      </c>
      <c r="C29" s="104" t="s">
        <v>36</v>
      </c>
      <c r="D29" s="104"/>
      <c r="E29" s="105" t="s">
        <v>178</v>
      </c>
      <c r="F29" s="128">
        <f>MIN(B29,F28)</f>
        <v>135.29155509050136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7829503766.666666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75965868.936757103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150.84797273241287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2579143192.6029515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0.61262797529642821</v>
      </c>
      <c r="D38" s="118">
        <f>$B$34/F10</f>
        <v>0.44166202870207616</v>
      </c>
      <c r="E38" s="118">
        <f>B34/F8</f>
        <v>1.582622269515773</v>
      </c>
      <c r="F38" s="118">
        <f>B34/(F7+0.5*F8)</f>
        <v>0.51328289822133177</v>
      </c>
      <c r="G38" s="119">
        <f>MAX($B$34,($F$7+0.5*$F$8))</f>
        <v>148000000</v>
      </c>
    </row>
    <row r="39" spans="1:7" ht="18" customHeight="1" x14ac:dyDescent="0.45">
      <c r="A39" s="189" t="s">
        <v>193</v>
      </c>
      <c r="B39" s="190"/>
      <c r="C39" s="118">
        <f>C38^3*$B$32+(1-C38^3)*$B$36</f>
        <v>3786344241.8557887</v>
      </c>
      <c r="D39" s="118">
        <f>D38^3*$B$32+(1-D38^3)*$B$36</f>
        <v>3031477282.1584783</v>
      </c>
      <c r="E39" s="118">
        <f>$B$32*($B$34/E38)^3+(1-($B$34/E38)^3)*$B$36</f>
        <v>5.8064787660685425E+32</v>
      </c>
      <c r="F39" s="118">
        <f>$B$32*($B$34/F38)^3+(1-($B$34/F38)^3)*$B$36</f>
        <v>1.7020576906115158E+34</v>
      </c>
      <c r="G39" s="119">
        <f>$B$32*($B$34/G38)^3+(1-($B$34/G38)^3)*$B$36</f>
        <v>3289145096.898675</v>
      </c>
    </row>
    <row r="40" spans="1:7" ht="18" customHeight="1" x14ac:dyDescent="0.45">
      <c r="A40" s="189" t="s">
        <v>194</v>
      </c>
      <c r="B40" s="190"/>
      <c r="C40" s="110">
        <f>(5/48)*$F$7*$B$10^2/($F$31*$C$39)</f>
        <v>6.4933371160003919</v>
      </c>
      <c r="D40" s="110">
        <f>(5/48)*$F$10*$B$10^2/($F$31*$C$39)</f>
        <v>9.0068869673553813</v>
      </c>
      <c r="E40" s="110">
        <f>D40-C40</f>
        <v>2.5135498513549894</v>
      </c>
      <c r="F40" s="110">
        <f>(5/48)*(F7+0.5*F8)*$B$10^2/($F$31*$C$39)</f>
        <v>7.7501120416778866</v>
      </c>
      <c r="G40" s="112">
        <f>F40-C40</f>
        <v>1.2567749256774947</v>
      </c>
    </row>
    <row r="41" spans="1:7" ht="18" customHeight="1" x14ac:dyDescent="0.45">
      <c r="A41" s="94" t="s">
        <v>195</v>
      </c>
      <c r="B41" s="110">
        <f>E40+(C40*F34)+(G40*F35)</f>
        <v>17.762418949575263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29.166666666666668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 codeName="Sheet29"/>
  <dimension ref="A1:R51"/>
  <sheetViews>
    <sheetView view="pageLayout" topLeftCell="A13" zoomScale="70" zoomScaleNormal="100" zoomScalePageLayoutView="70" workbookViewId="0">
      <selection activeCell="H40" sqref="H40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234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246*10^6</f>
        <v>246000000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144*10^6</f>
        <v>144000000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83*10^6</f>
        <v>83000000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27*10^6</f>
        <v>27000000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209*10^3</f>
        <v>209000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6860</v>
      </c>
      <c r="C10" s="98" t="s">
        <v>36</v>
      </c>
      <c r="E10" s="96" t="s">
        <v>139</v>
      </c>
      <c r="F10" s="99">
        <f>F7+F8</f>
        <v>110000000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1.6579161045926702</v>
      </c>
      <c r="C15" s="110">
        <f>$F$6/($F$11*B8*B12^2)</f>
        <v>0.97048747585912398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4.399050076299647E-3</v>
      </c>
      <c r="C16" s="114">
        <f>0.85*$B$5/$B$6*(1-SQRT(1-(2*C15/(0.85*$B$5))))</f>
        <v>2.537674908354139E-3</v>
      </c>
      <c r="E16" s="96" t="s">
        <v>151</v>
      </c>
      <c r="F16" s="110">
        <f>B22*$B$6/(0.85*$B$5*$B$8)</f>
        <v>48.047887643138019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4.399050076299647E-3</v>
      </c>
      <c r="C18" s="114">
        <f>MAX(C16:C17)</f>
        <v>3.5897435897435893E-3</v>
      </c>
      <c r="E18" s="96" t="s">
        <v>155</v>
      </c>
      <c r="F18" s="115">
        <f>0.003*($B$12-F17)/F17</f>
        <v>3.1072257497750857E-2</v>
      </c>
      <c r="G18" s="116">
        <f>0.003*($B$12-G17)/G17</f>
        <v>4.2429676663667808E-2</v>
      </c>
    </row>
    <row r="19" spans="1:18" ht="18" customHeight="1" x14ac:dyDescent="0.45">
      <c r="A19" s="94" t="s">
        <v>156</v>
      </c>
      <c r="B19" s="110">
        <f>$K$10*B18</f>
        <v>1129.6760595937494</v>
      </c>
      <c r="C19" s="117">
        <f>$K$10*C18</f>
        <v>921.8461538461537</v>
      </c>
      <c r="E19" s="96" t="s">
        <v>157</v>
      </c>
      <c r="F19" s="118">
        <f>B22*$B$6*($B$12-F16/2)</f>
        <v>302862929.95679015</v>
      </c>
      <c r="G19" s="119">
        <f>C22*$B$6*($B$12-G16/2)</f>
        <v>229354795.74613041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272576636.96111113</v>
      </c>
      <c r="G20" s="119">
        <f>$F$11*G19</f>
        <v>206419316.17151737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4</v>
      </c>
      <c r="C21" s="95">
        <v>3</v>
      </c>
      <c r="E21" s="96" t="s">
        <v>76</v>
      </c>
      <c r="F21" s="120">
        <f>F20/F5</f>
        <v>1.1080351095980128</v>
      </c>
      <c r="G21" s="121">
        <f>G20/F6</f>
        <v>1.433467473413315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1256.6370614359173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209000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29664.68022165852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358.98735580022873</v>
      </c>
      <c r="C29" s="104" t="s">
        <v>36</v>
      </c>
      <c r="D29" s="104"/>
      <c r="E29" s="105" t="s">
        <v>178</v>
      </c>
      <c r="F29" s="128">
        <f>MIN(B29,F28)</f>
        <v>160.26675566139235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136.09462350734012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2210144915.1727953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1.0310744130470251</v>
      </c>
      <c r="D38" s="118">
        <f>$B$34/F10</f>
        <v>0.7779925116627554</v>
      </c>
      <c r="E38" s="118">
        <f>B34/F8</f>
        <v>3.1695991215890031</v>
      </c>
      <c r="F38" s="118">
        <f>B34/(F7+0.5*F8)</f>
        <v>0.88683084230987663</v>
      </c>
      <c r="G38" s="119">
        <f>MAX($B$34,($F$7+0.5*$F$8))</f>
        <v>96500000</v>
      </c>
    </row>
    <row r="39" spans="1:7" ht="18" customHeight="1" x14ac:dyDescent="0.45">
      <c r="A39" s="189" t="s">
        <v>193</v>
      </c>
      <c r="B39" s="190"/>
      <c r="C39" s="118">
        <f>C38^3*$B$32+(1-C38^3)*$B$36</f>
        <v>9455877612.8335991</v>
      </c>
      <c r="D39" s="118">
        <f>D38^3*$B$32+(1-D38^3)*$B$36</f>
        <v>5322853977.5299568</v>
      </c>
      <c r="E39" s="118">
        <f>$B$32*($B$34/E38)^3+(1-($B$34/E38)^3)*$B$36</f>
        <v>1.3010787149145382E+32</v>
      </c>
      <c r="F39" s="118">
        <f>$B$32*($B$34/F38)^3+(1-($B$34/F38)^3)*$B$36</f>
        <v>5.9401063373262243E+33</v>
      </c>
      <c r="G39" s="119">
        <f>$B$32*($B$34/G38)^3+(1-($B$34/G38)^3)*$B$36</f>
        <v>6820502865.5936985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1.6714552856305653</v>
      </c>
      <c r="D40" s="110">
        <f>(5/48)*$F$10*$B$10^2/($F$31*$C$39)</f>
        <v>2.2151817038477373</v>
      </c>
      <c r="E40" s="110">
        <f>D40-C40</f>
        <v>0.54372641821717194</v>
      </c>
      <c r="F40" s="110">
        <f>(5/48)*(F7+0.5*F8)*$B$10^2/($F$31*$C$39)</f>
        <v>1.9433184947391513</v>
      </c>
      <c r="G40" s="112">
        <f>F40-C40</f>
        <v>0.27186320910858597</v>
      </c>
    </row>
    <row r="41" spans="1:7" ht="18" customHeight="1" x14ac:dyDescent="0.45">
      <c r="A41" s="94" t="s">
        <v>195</v>
      </c>
      <c r="B41" s="110">
        <f>E40+(C40*F34)+(G40*F35)</f>
        <v>4.3759907658737571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28.583333333333332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 codeName="Sheet30"/>
  <dimension ref="A1:R51"/>
  <sheetViews>
    <sheetView view="pageLayout" topLeftCell="A7" zoomScaleNormal="100" workbookViewId="0">
      <selection activeCell="B28" sqref="B28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207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204*10^6</f>
        <v>204000000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109*10^6</f>
        <v>109000000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60*10^6</f>
        <v>60000000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24*10^6</f>
        <v>24000000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185*10^3</f>
        <v>185000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5700</v>
      </c>
      <c r="C10" s="98" t="s">
        <v>36</v>
      </c>
      <c r="E10" s="96" t="s">
        <v>139</v>
      </c>
      <c r="F10" s="99">
        <f>F7+F8</f>
        <v>84000000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1.3748572574670923</v>
      </c>
      <c r="C15" s="110">
        <f>$F$6/($F$11*B8*B12^2)</f>
        <v>0.73460510325447581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3.6258068914917156E-3</v>
      </c>
      <c r="C16" s="114">
        <f>0.85*$B$5/$B$6*(1-SQRT(1-(2*C15/(0.85*$B$5))))</f>
        <v>1.9115452210442573E-3</v>
      </c>
      <c r="E16" s="96" t="s">
        <v>151</v>
      </c>
      <c r="F16" s="110">
        <f>B22*$B$6/(0.85*$B$5*$B$8)</f>
        <v>48.047887643138019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3.6258068914917156E-3</v>
      </c>
      <c r="C18" s="114">
        <f>MAX(C16:C17)</f>
        <v>3.5897435897435893E-3</v>
      </c>
      <c r="E18" s="96" t="s">
        <v>155</v>
      </c>
      <c r="F18" s="115">
        <f>0.003*($B$12-F17)/F17</f>
        <v>3.1072257497750857E-2</v>
      </c>
      <c r="G18" s="116">
        <f>0.003*($B$12-G17)/G17</f>
        <v>4.2429676663667808E-2</v>
      </c>
    </row>
    <row r="19" spans="1:18" ht="18" customHeight="1" x14ac:dyDescent="0.45">
      <c r="A19" s="94" t="s">
        <v>156</v>
      </c>
      <c r="B19" s="110">
        <f>$K$10*B18</f>
        <v>931.10720973507262</v>
      </c>
      <c r="C19" s="117">
        <f>$K$10*C18</f>
        <v>921.8461538461537</v>
      </c>
      <c r="E19" s="96" t="s">
        <v>157</v>
      </c>
      <c r="F19" s="118">
        <f>B22*$B$6*($B$12-F16/2)</f>
        <v>302862929.95679015</v>
      </c>
      <c r="G19" s="119">
        <f>C22*$B$6*($B$12-G16/2)</f>
        <v>229354795.74613041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272576636.96111113</v>
      </c>
      <c r="G20" s="119">
        <f>$F$11*G19</f>
        <v>206419316.17151737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4</v>
      </c>
      <c r="C21" s="95">
        <v>3</v>
      </c>
      <c r="E21" s="96" t="s">
        <v>76</v>
      </c>
      <c r="F21" s="120">
        <f>F20/F5</f>
        <v>1.336159985103486</v>
      </c>
      <c r="G21" s="121">
        <f>G20/F6</f>
        <v>1.8937551942341044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1256.6370614359173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185000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5664.6802216585202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1879.9375598848228</v>
      </c>
      <c r="C29" s="104" t="s">
        <v>36</v>
      </c>
      <c r="D29" s="104"/>
      <c r="E29" s="105" t="s">
        <v>178</v>
      </c>
      <c r="F29" s="128">
        <f>MIN(B29,F28)</f>
        <v>160.26675566139235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136.09462350734012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2210144915.1727953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1.4263196047150515</v>
      </c>
      <c r="D38" s="118">
        <f>$B$34/F10</f>
        <v>1.0187997176536081</v>
      </c>
      <c r="E38" s="118">
        <f>B34/F8</f>
        <v>3.5657990117876288</v>
      </c>
      <c r="F38" s="118">
        <f>B34/(F7+0.5*F8)</f>
        <v>1.1885996705958763</v>
      </c>
      <c r="G38" s="119">
        <f>MAX($B$34,($F$7+0.5*$F$8))</f>
        <v>85579176.28290309</v>
      </c>
    </row>
    <row r="39" spans="1:7" ht="18" customHeight="1" x14ac:dyDescent="0.45">
      <c r="A39" s="189" t="s">
        <v>193</v>
      </c>
      <c r="B39" s="190"/>
      <c r="C39" s="118">
        <f>C38^3*$B$32+(1-C38^3)*$B$36</f>
        <v>21390773442.938446</v>
      </c>
      <c r="D39" s="118">
        <f>D38^3*$B$32+(1-D38^3)*$B$36</f>
        <v>9200169888.8483219</v>
      </c>
      <c r="E39" s="118">
        <f>$B$32*($B$34/E38)^3+(1-($B$34/E38)^3)*$B$36</f>
        <v>9.1378916603051256E+31</v>
      </c>
      <c r="F39" s="118">
        <f>$B$32*($B$34/F38)^3+(1-($B$34/F38)^3)*$B$36</f>
        <v>2.467230748282384E+33</v>
      </c>
      <c r="G39" s="119">
        <f>$B$32*($B$34/G38)^3+(1-($B$34/G38)^3)*$B$36</f>
        <v>8820309599.9999981</v>
      </c>
    </row>
    <row r="40" spans="1:7" ht="18" customHeight="1" x14ac:dyDescent="0.45">
      <c r="A40" s="189" t="s">
        <v>194</v>
      </c>
      <c r="B40" s="190"/>
      <c r="C40" s="110">
        <f>(5/48)*$F$7*$B$10^2/($F$31*$C$39)</f>
        <v>0.36876080589017396</v>
      </c>
      <c r="D40" s="110">
        <f>(5/48)*$F$10*$B$10^2/($F$31*$C$39)</f>
        <v>0.5162651282462436</v>
      </c>
      <c r="E40" s="110">
        <f>D40-C40</f>
        <v>0.14750432235606964</v>
      </c>
      <c r="F40" s="110">
        <f>(5/48)*(F7+0.5*F8)*$B$10^2/($F$31*$C$39)</f>
        <v>0.44251296706820875</v>
      </c>
      <c r="G40" s="112">
        <f>F40-C40</f>
        <v>7.3752161178034792E-2</v>
      </c>
    </row>
    <row r="41" spans="1:7" ht="18" customHeight="1" x14ac:dyDescent="0.45">
      <c r="A41" s="94" t="s">
        <v>195</v>
      </c>
      <c r="B41" s="110">
        <f>E40+(C40*F34)+(G40*F35)</f>
        <v>1.0177798242568801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23.75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 codeName="Sheet31">
    <tabColor rgb="FFFF0000"/>
  </sheetPr>
  <dimension ref="A1:R51"/>
  <sheetViews>
    <sheetView view="pageLayout" zoomScaleNormal="100" workbookViewId="0">
      <selection activeCell="B11" sqref="B11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208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780*10^6</f>
        <v>780000000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465*10^6</f>
        <v>465000000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262*10^6</f>
        <v>262000000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94*10^6</f>
        <v>94000000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435*10^3</f>
        <v>435000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9800</v>
      </c>
      <c r="C10" s="98" t="s">
        <v>36</v>
      </c>
      <c r="E10" s="96" t="s">
        <v>139</v>
      </c>
      <c r="F10" s="99">
        <f>F7+F8</f>
        <v>356000000</v>
      </c>
      <c r="G10" s="97" t="s">
        <v>123</v>
      </c>
      <c r="J10" s="85" t="s">
        <v>140</v>
      </c>
      <c r="K10" s="85">
        <f>B8*B12</f>
        <v>381600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636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3.570973370427506</v>
      </c>
      <c r="C15" s="110">
        <f>$F$6/($F$11*B8*B12^2)</f>
        <v>2.1288495092933211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9.9068709080796184E-3</v>
      </c>
      <c r="C16" s="114">
        <f>0.85*$B$5/$B$6*(1-SQRT(1-(2*C15/(0.85*$B$5))))</f>
        <v>5.7077143953984952E-3</v>
      </c>
      <c r="E16" s="96" t="s">
        <v>151</v>
      </c>
      <c r="F16" s="110">
        <f>B22*$B$6/(0.85*$B$5*$B$8)</f>
        <v>125.56514637406733</v>
      </c>
      <c r="G16" s="112">
        <f>C22*$B$6/(0.85*$B$5*$B$8)</f>
        <v>78.478216483792082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147.72370161654979</v>
      </c>
      <c r="G17" s="112">
        <f>G16/G15</f>
        <v>92.327313510343629</v>
      </c>
    </row>
    <row r="18" spans="1:18" ht="18" customHeight="1" x14ac:dyDescent="0.45">
      <c r="A18" s="94" t="s">
        <v>154</v>
      </c>
      <c r="B18" s="113">
        <f>MAX(B16:B17)</f>
        <v>9.9068709080796184E-3</v>
      </c>
      <c r="C18" s="114">
        <f>MAX(C16:C17)</f>
        <v>5.7077143953984952E-3</v>
      </c>
      <c r="E18" s="96" t="s">
        <v>155</v>
      </c>
      <c r="F18" s="115">
        <f>0.003*($B$12-F17)/F17</f>
        <v>9.9160045349570569E-3</v>
      </c>
      <c r="G18" s="116">
        <f>0.003*($B$12-G17)/G17</f>
        <v>1.7665607255931286E-2</v>
      </c>
    </row>
    <row r="19" spans="1:18" ht="18" customHeight="1" x14ac:dyDescent="0.45">
      <c r="A19" s="94" t="s">
        <v>156</v>
      </c>
      <c r="B19" s="110">
        <f>$K$10*B18</f>
        <v>3780.4619385231822</v>
      </c>
      <c r="C19" s="117">
        <f>$K$10*C18</f>
        <v>2178.0638132840659</v>
      </c>
      <c r="E19" s="96" t="s">
        <v>157</v>
      </c>
      <c r="F19" s="118">
        <f>B22*$B$6*($B$12-F16/2)</f>
        <v>1101234790.5596261</v>
      </c>
      <c r="G19" s="119">
        <f>C22*$B$6*($B$12-G16/2)</f>
        <v>716540775.92253542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991111311.50366354</v>
      </c>
      <c r="G20" s="119">
        <f>$F$11*G19</f>
        <v>644886698.33028185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5</v>
      </c>
      <c r="E21" s="96" t="s">
        <v>76</v>
      </c>
      <c r="F21" s="120">
        <f>F20/F5</f>
        <v>1.2706555275687994</v>
      </c>
      <c r="G21" s="121">
        <f>G20/F6</f>
        <v>1.3868531146887781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4926.0172808287953</v>
      </c>
      <c r="C22" s="123">
        <f>C20^2*PI()/4*C21</f>
        <v>3078.7608005179973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266488.93312856351</v>
      </c>
      <c r="C24" s="85" t="s">
        <v>136</v>
      </c>
      <c r="E24" s="96" t="s">
        <v>169</v>
      </c>
      <c r="F24" s="99">
        <f>F9</f>
        <v>435000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133244.46656428176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168511.06687143649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157.07963267948966</v>
      </c>
      <c r="C28" s="85" t="s">
        <v>175</v>
      </c>
      <c r="E28" s="96" t="s">
        <v>176</v>
      </c>
      <c r="F28" s="111">
        <f>MIN((B28*B7/(B8*0.062*SQRT(B5))),(B28*B7/(0.345*B8)),B12/2,600)</f>
        <v>295.94713403382116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173.41011845625354</v>
      </c>
      <c r="C29" s="104" t="s">
        <v>36</v>
      </c>
      <c r="D29" s="104"/>
      <c r="E29" s="105" t="s">
        <v>178</v>
      </c>
      <c r="F29" s="128">
        <f>MIN(B29,F28)</f>
        <v>173.41011845625354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12862972800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124803172.07611258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188.82225964661757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6129529795.0856895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0.47634798502333048</v>
      </c>
      <c r="D38" s="118">
        <f>$B$34/F10</f>
        <v>0.35057070807896795</v>
      </c>
      <c r="E38" s="118">
        <f>B34/F8</f>
        <v>1.3276933199586445</v>
      </c>
      <c r="F38" s="118">
        <f>B34/(F7+0.5*F8)</f>
        <v>0.40389376076411837</v>
      </c>
      <c r="G38" s="119">
        <f>MAX($B$34,($F$7+0.5*$F$8))</f>
        <v>309000000</v>
      </c>
    </row>
    <row r="39" spans="1:7" ht="18" customHeight="1" x14ac:dyDescent="0.45">
      <c r="A39" s="189" t="s">
        <v>193</v>
      </c>
      <c r="B39" s="190"/>
      <c r="C39" s="118">
        <f>C38^3*$B$32+(1-C38^3)*$B$36</f>
        <v>6857326668.938364</v>
      </c>
      <c r="D39" s="118">
        <f>D38^3*$B$32+(1-D38^3)*$B$36</f>
        <v>6419640708.1074562</v>
      </c>
      <c r="E39" s="118">
        <f>$B$32*($B$34/E38)^3+(1-($B$34/E38)^3)*$B$36</f>
        <v>5.592690024793748E+33</v>
      </c>
      <c r="F39" s="118">
        <f>$B$32*($B$34/F38)^3+(1-($B$34/F38)^3)*$B$36</f>
        <v>1.9866100430963697E+35</v>
      </c>
      <c r="G39" s="119">
        <f>$B$32*($B$34/G38)^3+(1-($B$34/G38)^3)*$B$36</f>
        <v>6573177890.5620346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14.848031680755156</v>
      </c>
      <c r="D40" s="110">
        <f>(5/48)*$F$10*$B$10^2/($F$31*$C$39)</f>
        <v>20.175188085300896</v>
      </c>
      <c r="E40" s="110">
        <f>D40-C40</f>
        <v>5.3271564045457396</v>
      </c>
      <c r="F40" s="110">
        <f>(5/48)*(F7+0.5*F8)*$B$10^2/($F$31*$C$39)</f>
        <v>17.511609883028026</v>
      </c>
      <c r="G40" s="112">
        <f>F40-C40</f>
        <v>2.6635782022728698</v>
      </c>
    </row>
    <row r="41" spans="1:7" ht="18" customHeight="1" x14ac:dyDescent="0.45">
      <c r="A41" s="94" t="s">
        <v>195</v>
      </c>
      <c r="B41" s="110">
        <f>E40+(C40*F34)+(G40*F35)</f>
        <v>39.817660530147215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40.833333333333336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 codeName="Sheet32"/>
  <dimension ref="A1:R51"/>
  <sheetViews>
    <sheetView topLeftCell="A13" zoomScaleNormal="100" zoomScalePageLayoutView="40" workbookViewId="0">
      <selection activeCell="B28" sqref="B28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325*10^6</f>
        <v>325000000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151*10^6</f>
        <v>151000000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92*10^6</f>
        <v>92000000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26*10^6</f>
        <v>26000000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475</v>
      </c>
      <c r="C9" s="98" t="s">
        <v>36</v>
      </c>
      <c r="E9" s="96" t="s">
        <v>135</v>
      </c>
      <c r="F9" s="95">
        <f>248*10^3</f>
        <v>248000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99">
        <f>F7+F8</f>
        <v>118000000</v>
      </c>
      <c r="G10" s="97" t="s">
        <v>123</v>
      </c>
      <c r="J10" s="85" t="s">
        <v>140</v>
      </c>
      <c r="K10" s="85">
        <f>B8*B12</f>
        <v>235200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392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3.9166743795023677</v>
      </c>
      <c r="C15" s="110">
        <f>$F$6/($F$11*B8*B12^2)</f>
        <v>1.8197471732457156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1.0961599973132572E-2</v>
      </c>
      <c r="C16" s="114">
        <f>0.85*$B$5/$B$6*(1-SQRT(1-(2*C15/(0.85*$B$5))))</f>
        <v>4.8455677129305135E-3</v>
      </c>
      <c r="E16" s="96" t="s">
        <v>151</v>
      </c>
      <c r="F16" s="110">
        <f>B22*$B$6/(0.85*$B$5*$B$8)</f>
        <v>80.079812738563362</v>
      </c>
      <c r="G16" s="112">
        <f>C22*$B$6/(0.85*$B$5*$B$8)</f>
        <v>80.079812738563362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94.21154439830984</v>
      </c>
      <c r="G17" s="112">
        <f>G16/G15</f>
        <v>94.21154439830984</v>
      </c>
    </row>
    <row r="18" spans="1:18" ht="18" customHeight="1" x14ac:dyDescent="0.45">
      <c r="A18" s="94" t="s">
        <v>154</v>
      </c>
      <c r="B18" s="113">
        <f>MAX(B16:B17)</f>
        <v>1.0961599973132572E-2</v>
      </c>
      <c r="C18" s="114">
        <f>MAX(C16:C17)</f>
        <v>4.8455677129305135E-3</v>
      </c>
      <c r="E18" s="96" t="s">
        <v>155</v>
      </c>
      <c r="F18" s="115">
        <f>0.003*($B$12-F17)/F17</f>
        <v>9.482546672073211E-3</v>
      </c>
      <c r="G18" s="116">
        <f>0.003*($B$12-G17)/G17</f>
        <v>9.482546672073211E-3</v>
      </c>
    </row>
    <row r="19" spans="1:18" ht="18" customHeight="1" x14ac:dyDescent="0.45">
      <c r="A19" s="94" t="s">
        <v>156</v>
      </c>
      <c r="B19" s="110">
        <f>$K$10*B18</f>
        <v>2578.168313680781</v>
      </c>
      <c r="C19" s="117">
        <f>$K$10*C18</f>
        <v>1139.6775260812567</v>
      </c>
      <c r="E19" s="96" t="s">
        <v>157</v>
      </c>
      <c r="F19" s="118">
        <f>B22*$B$6*($B$12-F16/2)</f>
        <v>431228945.35774589</v>
      </c>
      <c r="G19" s="119">
        <f>C22*$B$6*($B$12-G16/2)</f>
        <v>431228945.35774589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388106050.8219713</v>
      </c>
      <c r="G20" s="119">
        <f>$F$11*G19</f>
        <v>388106050.8219713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10</v>
      </c>
      <c r="E21" s="96" t="s">
        <v>76</v>
      </c>
      <c r="F21" s="120">
        <f>F20/F5</f>
        <v>1.1941724640676039</v>
      </c>
      <c r="G21" s="121">
        <f>G20/F6</f>
        <v>2.5702387471653729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3141.5926535897934</v>
      </c>
      <c r="C22" s="123">
        <f>C20^2*PI()/4*C21</f>
        <v>3141.5926535897934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164251.04054464921</v>
      </c>
      <c r="C24" s="85" t="s">
        <v>136</v>
      </c>
      <c r="E24" s="96" t="s">
        <v>169</v>
      </c>
      <c r="F24" s="99">
        <f>F9</f>
        <v>248000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82125.520272324604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83748.959455350792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251.32741228718345</v>
      </c>
      <c r="C28" s="85" t="s">
        <v>175</v>
      </c>
      <c r="E28" s="96" t="s">
        <v>176</v>
      </c>
      <c r="F28" s="111">
        <f>MIN((B28*B7/(B8*0.062*SQRT(B5))),(B28*B7/(0.345*B8)),B12/2,600)</f>
        <v>196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194.10219699985092</v>
      </c>
      <c r="C29" s="104" t="s">
        <v>36</v>
      </c>
      <c r="D29" s="104"/>
      <c r="E29" s="105" t="s">
        <v>178</v>
      </c>
      <c r="F29" s="128">
        <f>MIN(B29,F28)</f>
        <v>194.10219699985092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3011814400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9" ht="18" customHeight="1" x14ac:dyDescent="0.45">
      <c r="A33" s="94" t="s">
        <v>85</v>
      </c>
      <c r="B33" s="110">
        <f>$B$9/2</f>
        <v>237.5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9" ht="18" customHeight="1" x14ac:dyDescent="0.45">
      <c r="A34" s="94" t="s">
        <v>87</v>
      </c>
      <c r="B34" s="118">
        <f>F32*B32/B33</f>
        <v>43064252.01083412</v>
      </c>
      <c r="C34" s="85" t="s">
        <v>123</v>
      </c>
      <c r="E34" s="96" t="s">
        <v>183</v>
      </c>
      <c r="F34" s="99">
        <v>2</v>
      </c>
      <c r="G34" s="97"/>
    </row>
    <row r="35" spans="1:9" ht="18" customHeight="1" x14ac:dyDescent="0.45">
      <c r="A35" s="94" t="s">
        <v>184</v>
      </c>
      <c r="B35" s="110">
        <f>(-F33*C22+SQRT((F33*C22)^2+2*F33*B8*B12*C22))/B8</f>
        <v>142.47970359896436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9" ht="18" customHeight="1" x14ac:dyDescent="0.45">
      <c r="A36" s="94" t="s">
        <v>94</v>
      </c>
      <c r="B36" s="118">
        <f>($B$8*B35^3/3)+($F$33*C22*($B$12-B35)^2)</f>
        <v>2098094357.2957854</v>
      </c>
      <c r="C36" s="85" t="s">
        <v>182</v>
      </c>
      <c r="E36" s="127"/>
      <c r="G36" s="97"/>
    </row>
    <row r="37" spans="1:9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9" ht="18" customHeight="1" x14ac:dyDescent="0.45">
      <c r="A38" s="189" t="s">
        <v>192</v>
      </c>
      <c r="B38" s="190"/>
      <c r="C38" s="118">
        <f>B34/F7</f>
        <v>0.46808969576993609</v>
      </c>
      <c r="D38" s="118">
        <f>$B$34/F10</f>
        <v>0.3649512882274078</v>
      </c>
      <c r="E38" s="118">
        <f>B34/F8</f>
        <v>1.6563173850320816</v>
      </c>
      <c r="F38" s="118">
        <f>B34/(F7+0.5*F8)</f>
        <v>0.41013573343651544</v>
      </c>
      <c r="G38" s="119">
        <f>MAX($B$34,($F$7+0.5*$F$8))</f>
        <v>105000000</v>
      </c>
    </row>
    <row r="39" spans="1:9" ht="18" customHeight="1" x14ac:dyDescent="0.45">
      <c r="A39" s="189" t="s">
        <v>193</v>
      </c>
      <c r="B39" s="190"/>
      <c r="C39" s="118">
        <f>C38^3*$B$32+(1-C38^3)*$B$36</f>
        <v>2191807476.6712909</v>
      </c>
      <c r="D39" s="118">
        <f>D38^3*$B$32+(1-D38^3)*$B$36</f>
        <v>2142508149.2975683</v>
      </c>
      <c r="E39" s="118">
        <f>$B$32*($B$34/E38)^3+(1-($B$34/E38)^3)*$B$36</f>
        <v>1.605954347056928E+31</v>
      </c>
      <c r="F39" s="118">
        <f>$B$32*($B$34/F38)^3+(1-($B$34/F38)^3)*$B$36</f>
        <v>1.0577451644354663E+33</v>
      </c>
      <c r="G39" s="119">
        <f>$B$32*($B$34/G38)^3+(1-($B$34/G38)^3)*$B$36</f>
        <v>2161131421.5439434</v>
      </c>
    </row>
    <row r="40" spans="1:9" ht="18" customHeight="1" x14ac:dyDescent="0.45">
      <c r="A40" s="189" t="s">
        <v>194</v>
      </c>
      <c r="B40" s="190"/>
      <c r="C40" s="110">
        <f>(5/48)*$F$7*$B$10^2/($F$31*$C$39)</f>
        <v>13.757538087774789</v>
      </c>
      <c r="D40" s="110">
        <f>(5/48)*$F$10*$B$10^2/($F$31*$C$39)</f>
        <v>17.645537982145925</v>
      </c>
      <c r="E40" s="110">
        <f>D40-C40</f>
        <v>3.887999894371136</v>
      </c>
      <c r="F40" s="110">
        <f>(5/48)*(F7+0.5*F8)*$B$10^2/($F$31*$C$39)</f>
        <v>15.701538034960356</v>
      </c>
      <c r="G40" s="112">
        <f>F40-C40</f>
        <v>1.9439999471855671</v>
      </c>
      <c r="I40" s="110"/>
    </row>
    <row r="41" spans="1:9" ht="18" customHeight="1" x14ac:dyDescent="0.45">
      <c r="A41" s="94" t="s">
        <v>195</v>
      </c>
      <c r="B41" s="110">
        <f>E40+(C40*F34)+(G40*F35)</f>
        <v>34.902275974854739</v>
      </c>
      <c r="C41" s="85" t="s">
        <v>36</v>
      </c>
      <c r="D41" s="191" t="str">
        <f>IF(B42&gt;B41,"OK","NO")</f>
        <v>OK</v>
      </c>
      <c r="G41" s="97"/>
      <c r="I41" s="95"/>
    </row>
    <row r="42" spans="1:9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  <c r="I42" s="95"/>
    </row>
    <row r="43" spans="1:9" ht="18" customHeight="1" x14ac:dyDescent="0.45">
      <c r="C43" s="99"/>
      <c r="D43" s="110"/>
      <c r="E43" s="110"/>
      <c r="I43" s="122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 codeName="Sheet66"/>
  <dimension ref="A1:R51"/>
  <sheetViews>
    <sheetView topLeftCell="A19" zoomScaleNormal="100" zoomScalePageLayoutView="40" workbookViewId="0">
      <selection activeCell="G24" sqref="G24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347*10^6</f>
        <v>347000000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220*10^6</f>
        <v>220000000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126*10^6</f>
        <v>126000000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45*10^6</f>
        <v>45000000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475</v>
      </c>
      <c r="C9" s="98" t="s">
        <v>36</v>
      </c>
      <c r="E9" s="96" t="s">
        <v>135</v>
      </c>
      <c r="F9" s="95">
        <f>262*10^3</f>
        <v>262000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7435</v>
      </c>
      <c r="C10" s="98" t="s">
        <v>36</v>
      </c>
      <c r="E10" s="96" t="s">
        <v>139</v>
      </c>
      <c r="F10" s="99">
        <f>F7+F8</f>
        <v>171000000</v>
      </c>
      <c r="G10" s="97" t="s">
        <v>123</v>
      </c>
      <c r="J10" s="85" t="s">
        <v>140</v>
      </c>
      <c r="K10" s="85">
        <f>B8*B12</f>
        <v>225600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376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4.5452735442549841</v>
      </c>
      <c r="C15" s="110">
        <f>$F$6/($F$11*B8*B12^2)</f>
        <v>2.8817296245997017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1.2933764953003548E-2</v>
      </c>
      <c r="C16" s="114">
        <f>0.85*$B$5/$B$6*(1-SQRT(1-(2*C15/(0.85*$B$5))))</f>
        <v>7.8616851515361102E-3</v>
      </c>
      <c r="E16" s="96" t="s">
        <v>151</v>
      </c>
      <c r="F16" s="110">
        <f>B22*$B$6/(0.85*$B$5*$B$8)</f>
        <v>94.173859780550501</v>
      </c>
      <c r="G16" s="112">
        <f>C22*$B$6/(0.85*$B$5*$B$8)</f>
        <v>125.56514637406733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110.79277621241236</v>
      </c>
      <c r="G17" s="112">
        <f>G16/G15</f>
        <v>147.72370161654979</v>
      </c>
    </row>
    <row r="18" spans="1:18" ht="18" customHeight="1" x14ac:dyDescent="0.45">
      <c r="A18" s="94" t="s">
        <v>154</v>
      </c>
      <c r="B18" s="113">
        <f>MAX(B16:B17)</f>
        <v>1.2933764953003548E-2</v>
      </c>
      <c r="C18" s="114">
        <f>MAX(C16:C17)</f>
        <v>7.8616851515361102E-3</v>
      </c>
      <c r="E18" s="96" t="s">
        <v>155</v>
      </c>
      <c r="F18" s="115">
        <f>0.003*($B$12-F17)/F17</f>
        <v>7.1811691931736935E-3</v>
      </c>
      <c r="G18" s="116">
        <f>0.003*($B$12-G17)/G17</f>
        <v>4.635876894880272E-3</v>
      </c>
    </row>
    <row r="19" spans="1:18" ht="18" customHeight="1" x14ac:dyDescent="0.45">
      <c r="A19" s="94" t="s">
        <v>156</v>
      </c>
      <c r="B19" s="110">
        <f>$K$10*B18</f>
        <v>2917.8573733976004</v>
      </c>
      <c r="C19" s="117">
        <f>$K$10*C18</f>
        <v>1773.5961701865465</v>
      </c>
      <c r="E19" s="96" t="s">
        <v>157</v>
      </c>
      <c r="F19" s="118">
        <f>B22*$B$6*($B$12-F16/2)</f>
        <v>473917704.17090499</v>
      </c>
      <c r="G19" s="119">
        <f>C22*$B$6*($B$12-G16/2)</f>
        <v>601736638.28358626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426525933.75381452</v>
      </c>
      <c r="G20" s="119">
        <f>$F$11*G19</f>
        <v>541562974.45522761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6</v>
      </c>
      <c r="C21" s="95">
        <v>8</v>
      </c>
      <c r="E21" s="96" t="s">
        <v>76</v>
      </c>
      <c r="F21" s="120">
        <f>F20/F5</f>
        <v>1.2291813652847681</v>
      </c>
      <c r="G21" s="121">
        <f>G20/F6</f>
        <v>2.4616498838873984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3694.5129606215964</v>
      </c>
      <c r="C22" s="123">
        <f>C20^2*PI()/4*C21</f>
        <v>4926.0172808287953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157546.91644078598</v>
      </c>
      <c r="C24" s="85" t="s">
        <v>136</v>
      </c>
      <c r="E24" s="96" t="s">
        <v>169</v>
      </c>
      <c r="F24" s="99">
        <f>F9</f>
        <v>262000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78773.458220392989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104453.08355921402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4*B27^2*PI()/4</f>
        <v>314.15926535897933</v>
      </c>
      <c r="C28" s="85" t="s">
        <v>175</v>
      </c>
      <c r="E28" s="96" t="s">
        <v>176</v>
      </c>
      <c r="F28" s="111">
        <f>MIN((B28*B7/(B8*0.062*SQRT(B5))),(B28*B7/(0.345*B8)),B12/2,600)</f>
        <v>188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330.78234578487661</v>
      </c>
      <c r="C29" s="104" t="s">
        <v>36</v>
      </c>
      <c r="D29" s="104"/>
      <c r="E29" s="105" t="s">
        <v>178</v>
      </c>
      <c r="F29" s="128">
        <f>MIN(B29,F28)</f>
        <v>188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>
        <f>0.0036</f>
        <v>3.5999999999999999E-3</v>
      </c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  <c r="I31" s="85">
        <f>$K$10*I30</f>
        <v>812.16</v>
      </c>
    </row>
    <row r="32" spans="1:18" ht="18" customHeight="1" x14ac:dyDescent="0.45">
      <c r="A32" s="94" t="s">
        <v>80</v>
      </c>
      <c r="B32" s="118">
        <f>1/12*$B$8*$B$12^3</f>
        <v>2657868800</v>
      </c>
      <c r="C32" s="85" t="s">
        <v>182</v>
      </c>
      <c r="E32" s="96" t="s">
        <v>83</v>
      </c>
      <c r="F32" s="110">
        <f>0.62*SQRT($B$5)</f>
        <v>3.3958798565320301</v>
      </c>
      <c r="G32" s="97"/>
      <c r="I32" s="95">
        <v>28</v>
      </c>
    </row>
    <row r="33" spans="1:9" ht="18" customHeight="1" x14ac:dyDescent="0.45">
      <c r="A33" s="94" t="s">
        <v>85</v>
      </c>
      <c r="B33" s="110">
        <f>$B$9/2</f>
        <v>237.5</v>
      </c>
      <c r="C33" s="85" t="s">
        <v>36</v>
      </c>
      <c r="E33" s="96" t="s">
        <v>90</v>
      </c>
      <c r="F33" s="110">
        <f>B31/F31</f>
        <v>7.7691142908534196</v>
      </c>
      <c r="G33" s="97"/>
      <c r="I33" s="95">
        <v>2</v>
      </c>
    </row>
    <row r="34" spans="1:9" ht="18" customHeight="1" x14ac:dyDescent="0.45">
      <c r="A34" s="94" t="s">
        <v>87</v>
      </c>
      <c r="B34" s="118">
        <f>F32*B32/B33</f>
        <v>38003381.554631405</v>
      </c>
      <c r="C34" s="85" t="s">
        <v>123</v>
      </c>
      <c r="E34" s="96" t="s">
        <v>183</v>
      </c>
      <c r="F34" s="99">
        <v>2</v>
      </c>
      <c r="G34" s="97"/>
      <c r="I34" s="122">
        <f>I32^2*PI()/4*I33</f>
        <v>1231.5043202071988</v>
      </c>
    </row>
    <row r="35" spans="1:9" ht="18" customHeight="1" x14ac:dyDescent="0.45">
      <c r="A35" s="94" t="s">
        <v>184</v>
      </c>
      <c r="B35" s="110">
        <f>(-F33*C22+SQRT((F33*C22)^2+2*F33*B8*B12*C22))/B8</f>
        <v>164.32615478585572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9" ht="18" customHeight="1" x14ac:dyDescent="0.45">
      <c r="A36" s="94" t="s">
        <v>94</v>
      </c>
      <c r="B36" s="118">
        <f>($B$8*B35^3/3)+($F$33*C22*($B$12-B35)^2)</f>
        <v>2602216689.5970173</v>
      </c>
      <c r="C36" s="85" t="s">
        <v>182</v>
      </c>
      <c r="E36" s="127"/>
      <c r="G36" s="97"/>
    </row>
    <row r="37" spans="1:9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9" ht="18" customHeight="1" x14ac:dyDescent="0.45">
      <c r="A38" s="189" t="s">
        <v>192</v>
      </c>
      <c r="B38" s="190"/>
      <c r="C38" s="118">
        <f>B34/F7</f>
        <v>0.30161413932247144</v>
      </c>
      <c r="D38" s="118">
        <f>$B$34/F10</f>
        <v>0.22224199739550529</v>
      </c>
      <c r="E38" s="118">
        <f>B34/F8</f>
        <v>0.8445195901029201</v>
      </c>
      <c r="F38" s="118">
        <f>B34/(F7+0.5*F8)</f>
        <v>0.25591502730391519</v>
      </c>
      <c r="G38" s="119">
        <f>MAX($B$34,($F$7+0.5*$F$8))</f>
        <v>148500000</v>
      </c>
    </row>
    <row r="39" spans="1:9" ht="18" customHeight="1" x14ac:dyDescent="0.45">
      <c r="A39" s="189" t="s">
        <v>193</v>
      </c>
      <c r="B39" s="190"/>
      <c r="C39" s="118">
        <f>C38^3*$B$32+(1-C38^3)*$B$36</f>
        <v>2603743681.4807858</v>
      </c>
      <c r="D39" s="118">
        <f>D38^3*$B$32+(1-D38^3)*$B$36</f>
        <v>2602827575.4009333</v>
      </c>
      <c r="E39" s="118">
        <f>$B$32*($B$34/E38)^3+(1-($B$34/E38)^3)*$B$36</f>
        <v>5.0712985604717963E+30</v>
      </c>
      <c r="F39" s="118">
        <f>$B$32*($B$34/F38)^3+(1-($B$34/F38)^3)*$B$36</f>
        <v>1.8224725636767531E+32</v>
      </c>
      <c r="G39" s="119">
        <f>$B$32*($B$34/G38)^3+(1-($B$34/G38)^3)*$B$36</f>
        <v>2603149447.6411633</v>
      </c>
    </row>
    <row r="40" spans="1:9" ht="18" customHeight="1" x14ac:dyDescent="0.45">
      <c r="A40" s="189" t="s">
        <v>194</v>
      </c>
      <c r="B40" s="190"/>
      <c r="C40" s="110">
        <f>(5/48)*$F$7*$B$10^2/($F$31*$C$39)</f>
        <v>10.824417716999591</v>
      </c>
      <c r="D40" s="110">
        <f>(5/48)*$F$10*$B$10^2/($F$31*$C$39)</f>
        <v>14.690281187356588</v>
      </c>
      <c r="E40" s="110">
        <f>D40-C40</f>
        <v>3.865863470356997</v>
      </c>
      <c r="F40" s="110">
        <f>(5/48)*(F7+0.5*F8)*$B$10^2/($F$31*$C$39)</f>
        <v>12.75734945217809</v>
      </c>
      <c r="G40" s="112">
        <f>F40-C40</f>
        <v>1.9329317351784994</v>
      </c>
    </row>
    <row r="41" spans="1:9" ht="18" customHeight="1" x14ac:dyDescent="0.45">
      <c r="A41" s="94" t="s">
        <v>195</v>
      </c>
      <c r="B41" s="110">
        <f>E40+(C40*F34)+(G40*F35)</f>
        <v>28.99397602767748</v>
      </c>
      <c r="C41" s="85" t="s">
        <v>36</v>
      </c>
      <c r="D41" s="191" t="str">
        <f>IF(B42&gt;B41,"OK","NO")</f>
        <v>OK</v>
      </c>
      <c r="G41" s="97"/>
    </row>
    <row r="42" spans="1:9" ht="18" customHeight="1" thickBot="1" x14ac:dyDescent="0.5">
      <c r="A42" s="130" t="s">
        <v>196</v>
      </c>
      <c r="B42" s="131">
        <f>$B$10/240</f>
        <v>30.979166666666668</v>
      </c>
      <c r="C42" s="132" t="s">
        <v>36</v>
      </c>
      <c r="D42" s="192"/>
      <c r="E42" s="132"/>
      <c r="F42" s="133"/>
      <c r="G42" s="134"/>
    </row>
    <row r="43" spans="1:9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 codeName="Sheet33"/>
  <dimension ref="A1:R51"/>
  <sheetViews>
    <sheetView topLeftCell="A18" zoomScaleNormal="100" zoomScalePageLayoutView="85" workbookViewId="0">
      <selection activeCell="A3" sqref="A3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236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381*10^6</f>
        <v>381000000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195*10^6</f>
        <v>195000000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123*10^6</f>
        <v>123000000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34*10^6</f>
        <v>34000000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271*10^3</f>
        <v>271000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8280</v>
      </c>
      <c r="C10" s="98" t="s">
        <v>36</v>
      </c>
      <c r="E10" s="96" t="s">
        <v>139</v>
      </c>
      <c r="F10" s="99">
        <f>F7+F8</f>
        <v>157000000</v>
      </c>
      <c r="G10" s="97" t="s">
        <v>123</v>
      </c>
      <c r="J10" s="85" t="s">
        <v>140</v>
      </c>
      <c r="K10" s="85">
        <f>B8*B12</f>
        <v>370200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1.8533647033551155</v>
      </c>
      <c r="C15" s="110">
        <f>$F$6/($F$11*B8*B12^2)</f>
        <v>0.94857248596915356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4.9387375858834688E-3</v>
      </c>
      <c r="C16" s="114">
        <f>0.85*$B$5/$B$6*(1-SQRT(1-(2*C15/(0.85*$B$5))))</f>
        <v>2.4792408233837784E-3</v>
      </c>
      <c r="E16" s="96" t="s">
        <v>151</v>
      </c>
      <c r="F16" s="110">
        <f>B22*$B$6/(0.85*$B$5*$B$8)</f>
        <v>56.055868916994356</v>
      </c>
      <c r="G16" s="112">
        <f>C22*$B$6/(0.85*$B$5*$B$8)</f>
        <v>40.039906369281681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65.948081078816898</v>
      </c>
      <c r="G17" s="112">
        <f>G16/G15</f>
        <v>47.10577219915492</v>
      </c>
    </row>
    <row r="18" spans="1:18" ht="18" customHeight="1" x14ac:dyDescent="0.45">
      <c r="A18" s="94" t="s">
        <v>154</v>
      </c>
      <c r="B18" s="113">
        <f>MAX(B16:B17)</f>
        <v>4.9387375858834688E-3</v>
      </c>
      <c r="C18" s="114">
        <f>MAX(C16:C17)</f>
        <v>3.5897435897435893E-3</v>
      </c>
      <c r="E18" s="96" t="s">
        <v>155</v>
      </c>
      <c r="F18" s="115">
        <f>0.003*($B$12-F17)/F17</f>
        <v>2.5067533879989685E-2</v>
      </c>
      <c r="G18" s="116">
        <f>0.003*($B$12-G17)/G17</f>
        <v>3.6294547431985569E-2</v>
      </c>
    </row>
    <row r="19" spans="1:18" ht="18" customHeight="1" x14ac:dyDescent="0.45">
      <c r="A19" s="94" t="s">
        <v>156</v>
      </c>
      <c r="B19" s="110">
        <f>$K$10*B18</f>
        <v>1828.3206542940602</v>
      </c>
      <c r="C19" s="117">
        <f>$K$10*C18</f>
        <v>1328.9230769230767</v>
      </c>
      <c r="E19" s="96" t="s">
        <v>157</v>
      </c>
      <c r="F19" s="118">
        <f>B22*$B$6*($B$12-F16/2)</f>
        <v>505134715.79701811</v>
      </c>
      <c r="G19" s="119">
        <f>C22*$B$6*($B$12-G16/2)</f>
        <v>365716285.23589057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454621244.21731633</v>
      </c>
      <c r="G20" s="119">
        <f>$F$11*G19</f>
        <v>329144656.71230149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7</v>
      </c>
      <c r="C21" s="95">
        <v>5</v>
      </c>
      <c r="E21" s="96" t="s">
        <v>76</v>
      </c>
      <c r="F21" s="120">
        <f>F20/F5</f>
        <v>1.1932316121189406</v>
      </c>
      <c r="G21" s="121">
        <f>G20/F6</f>
        <v>1.6879213164733411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2199.1148575128555</v>
      </c>
      <c r="C22" s="123">
        <f>C20^2*PI()/4*C21</f>
        <v>1570.7963267948967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271000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12472.214244774077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106.84450377426158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820.58844422489096</v>
      </c>
      <c r="C29" s="104" t="s">
        <v>36</v>
      </c>
      <c r="D29" s="104"/>
      <c r="E29" s="105" t="s">
        <v>178</v>
      </c>
      <c r="F29" s="128">
        <f>MIN(B29,F28)</f>
        <v>106.84450377426158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139.38724226753476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3325458760.7647657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0.92641303581411116</v>
      </c>
      <c r="D38" s="118">
        <f>$B$34/F10</f>
        <v>0.72578855672060938</v>
      </c>
      <c r="E38" s="118">
        <f>B34/F8</f>
        <v>3.3514353942686963</v>
      </c>
      <c r="F38" s="118">
        <f>B34/(F7+0.5*F8)</f>
        <v>0.81392002432239774</v>
      </c>
      <c r="G38" s="119">
        <f>MAX($B$34,($F$7+0.5*$F$8))</f>
        <v>140000000</v>
      </c>
    </row>
    <row r="39" spans="1:7" ht="18" customHeight="1" x14ac:dyDescent="0.45">
      <c r="A39" s="189" t="s">
        <v>193</v>
      </c>
      <c r="B39" s="190"/>
      <c r="C39" s="118">
        <f>C38^3*$B$32+(1-C38^3)*$B$36</f>
        <v>10019124240.678913</v>
      </c>
      <c r="D39" s="118">
        <f>D38^3*$B$32+(1-D38^3)*$B$36</f>
        <v>6544157882.5780544</v>
      </c>
      <c r="E39" s="118">
        <f>$B$32*($B$34/E38)^3+(1-($B$34/E38)^3)*$B$36</f>
        <v>3.3089239293450161E+32</v>
      </c>
      <c r="F39" s="118">
        <f>$B$32*($B$34/F38)^3+(1-($B$34/F38)^3)*$B$36</f>
        <v>2.3101178664061485E+34</v>
      </c>
      <c r="G39" s="119">
        <f>$B$32*($B$34/G38)^3+(1-($B$34/G38)^3)*$B$36</f>
        <v>7864825087.5181913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3.405699335672435</v>
      </c>
      <c r="D40" s="110">
        <f>(5/48)*$F$10*$B$10^2/($F$31*$C$39)</f>
        <v>4.3471121601672547</v>
      </c>
      <c r="E40" s="110">
        <f>D40-C40</f>
        <v>0.94141282449481967</v>
      </c>
      <c r="F40" s="110">
        <f>(5/48)*(F7+0.5*F8)*$B$10^2/($F$31*$C$39)</f>
        <v>3.8764057479198444</v>
      </c>
      <c r="G40" s="112">
        <f>F40-C40</f>
        <v>0.47070641224740939</v>
      </c>
    </row>
    <row r="41" spans="1:7" ht="18" customHeight="1" x14ac:dyDescent="0.45">
      <c r="A41" s="94" t="s">
        <v>195</v>
      </c>
      <c r="B41" s="110">
        <f>E40+(C40*F34)+(G40*F35)</f>
        <v>8.6000830378850264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34.5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 codeName="Sheet34"/>
  <dimension ref="A1:R51"/>
  <sheetViews>
    <sheetView topLeftCell="A3" zoomScaleNormal="100" zoomScalePageLayoutView="85" workbookViewId="0">
      <selection activeCell="C21" sqref="C21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209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398*10^6</f>
        <v>398000000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169*10^6</f>
        <v>169000000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103*10^6</f>
        <v>103000000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29*10^6</f>
        <v>29000000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251*10^3</f>
        <v>251000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7200</v>
      </c>
      <c r="C10" s="98" t="s">
        <v>36</v>
      </c>
      <c r="E10" s="96" t="s">
        <v>139</v>
      </c>
      <c r="F10" s="99">
        <f>F7+F8</f>
        <v>132000000</v>
      </c>
      <c r="G10" s="97" t="s">
        <v>123</v>
      </c>
      <c r="J10" s="85" t="s">
        <v>140</v>
      </c>
      <c r="K10" s="85">
        <f>B8*B12</f>
        <v>385200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1.7882130342219045</v>
      </c>
      <c r="C15" s="110">
        <f>$F$6/($F$11*B8*B12^2)</f>
        <v>0.75931658990829609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4.7583020365154138E-3</v>
      </c>
      <c r="C16" s="114">
        <f>0.85*$B$5/$B$6*(1-SQRT(1-(2*C15/(0.85*$B$5))))</f>
        <v>1.9768498257593937E-3</v>
      </c>
      <c r="E16" s="96" t="s">
        <v>151</v>
      </c>
      <c r="F16" s="110">
        <f>B22*$B$6/(0.85*$B$5*$B$8)</f>
        <v>64.063850190850687</v>
      </c>
      <c r="G16" s="112">
        <f>C22*$B$6/(0.85*$B$5*$B$8)</f>
        <v>40.039906369281681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75.369235518647869</v>
      </c>
      <c r="G17" s="112">
        <f>G16/G15</f>
        <v>47.10577219915492</v>
      </c>
    </row>
    <row r="18" spans="1:18" ht="18" customHeight="1" x14ac:dyDescent="0.45">
      <c r="A18" s="94" t="s">
        <v>154</v>
      </c>
      <c r="B18" s="113">
        <f>MAX(B16:B17)</f>
        <v>4.7583020365154138E-3</v>
      </c>
      <c r="C18" s="114">
        <f>MAX(C16:C17)</f>
        <v>3.5897435897435893E-3</v>
      </c>
      <c r="E18" s="96" t="s">
        <v>155</v>
      </c>
      <c r="F18" s="115">
        <f>0.003*($B$12-F17)/F17</f>
        <v>2.2554193123313141E-2</v>
      </c>
      <c r="G18" s="116">
        <f>0.003*($B$12-G17)/G17</f>
        <v>3.7886708997301025E-2</v>
      </c>
    </row>
    <row r="19" spans="1:18" ht="18" customHeight="1" x14ac:dyDescent="0.45">
      <c r="A19" s="94" t="s">
        <v>156</v>
      </c>
      <c r="B19" s="110">
        <f>$K$10*B18</f>
        <v>1832.8979444657375</v>
      </c>
      <c r="C19" s="117">
        <f>$K$10*C18</f>
        <v>1382.7692307692305</v>
      </c>
      <c r="E19" s="96" t="s">
        <v>157</v>
      </c>
      <c r="F19" s="118">
        <f>B22*$B$6*($B$12-F16/2)</f>
        <v>597876621.58989036</v>
      </c>
      <c r="G19" s="119">
        <f>C22*$B$6*($B$12-G16/2)</f>
        <v>381031549.42214084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538088959.43090129</v>
      </c>
      <c r="G20" s="119">
        <f>$F$11*G19</f>
        <v>342928394.47992676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5</v>
      </c>
      <c r="E21" s="96" t="s">
        <v>76</v>
      </c>
      <c r="F21" s="120">
        <f>F20/F5</f>
        <v>1.3519823101278927</v>
      </c>
      <c r="G21" s="121">
        <f>G20/F6</f>
        <v>2.0291620975143596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2513.2741228718346</v>
      </c>
      <c r="C22" s="123">
        <f>C20^2*PI()/4*C21</f>
        <v>1570.7963267948967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269002.97966751223</v>
      </c>
      <c r="C24" s="85" t="s">
        <v>136</v>
      </c>
      <c r="E24" s="96" t="s">
        <v>169</v>
      </c>
      <c r="F24" s="99">
        <f>F9</f>
        <v>251000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134501.48983375612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3*B27^2*PI()/4</f>
        <v>150.79644737231007</v>
      </c>
      <c r="C28" s="85" t="s">
        <v>175</v>
      </c>
      <c r="E28" s="96" t="s">
        <v>176</v>
      </c>
      <c r="F28" s="111">
        <f>MIN((B28*B7/(B8*0.062*SQRT(B5))),(B28*B7/(0.345*B8)),B12/2,600)</f>
        <v>284.10924867246831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284.10924867246831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13230464400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128368764.42435466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142.53961750120911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3623553222.0840011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1.2462986837315986</v>
      </c>
      <c r="D38" s="118">
        <f>$B$34/F10</f>
        <v>0.97249063957844439</v>
      </c>
      <c r="E38" s="118">
        <f>B34/F8</f>
        <v>4.4265091180811948</v>
      </c>
      <c r="F38" s="118">
        <f>B34/(F7+0.5*F8)</f>
        <v>1.0925001227604652</v>
      </c>
      <c r="G38" s="119">
        <f>MAX($B$34,($F$7+0.5*$F$8))</f>
        <v>128368764.42435466</v>
      </c>
    </row>
    <row r="39" spans="1:7" ht="18" customHeight="1" x14ac:dyDescent="0.45">
      <c r="A39" s="189" t="s">
        <v>193</v>
      </c>
      <c r="B39" s="190"/>
      <c r="C39" s="118">
        <f>C38^3*$B$32+(1-C38^3)*$B$36</f>
        <v>22220865534.622074</v>
      </c>
      <c r="D39" s="118">
        <f>D38^3*$B$32+(1-D38^3)*$B$36</f>
        <v>12459234975.631351</v>
      </c>
      <c r="E39" s="118">
        <f>$B$32*($B$34/E38)^3+(1-($B$34/E38)^3)*$B$36</f>
        <v>2.3430295671819331E+32</v>
      </c>
      <c r="F39" s="118">
        <f>$B$32*($B$34/F38)^3+(1-($B$34/F38)^3)*$B$36</f>
        <v>1.5584661550387074E+34</v>
      </c>
      <c r="G39" s="119">
        <f>$B$32*($B$34/G38)^3+(1-($B$34/G38)^3)*$B$36</f>
        <v>13230464400</v>
      </c>
    </row>
    <row r="40" spans="1:7" ht="18" customHeight="1" x14ac:dyDescent="0.45">
      <c r="A40" s="189" t="s">
        <v>194</v>
      </c>
      <c r="B40" s="190"/>
      <c r="C40" s="110">
        <f>(5/48)*$F$7*$B$10^2/($F$31*$C$39)</f>
        <v>0.97232516929637358</v>
      </c>
      <c r="D40" s="110">
        <f>(5/48)*$F$10*$B$10^2/($F$31*$C$39)</f>
        <v>1.246086624729333</v>
      </c>
      <c r="E40" s="110">
        <f>D40-C40</f>
        <v>0.27376145543295938</v>
      </c>
      <c r="F40" s="110">
        <f>(5/48)*(F7+0.5*F8)*$B$10^2/($F$31*$C$39)</f>
        <v>1.1092058970128533</v>
      </c>
      <c r="G40" s="112">
        <f>F40-C40</f>
        <v>0.13688072771647974</v>
      </c>
    </row>
    <row r="41" spans="1:7" ht="18" customHeight="1" x14ac:dyDescent="0.45">
      <c r="A41" s="94" t="s">
        <v>195</v>
      </c>
      <c r="B41" s="110">
        <f>E40+(C40*F34)+(G40*F35)</f>
        <v>2.46479710391537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30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>
    <tabColor rgb="FF00B050"/>
  </sheetPr>
  <dimension ref="A1:R51"/>
  <sheetViews>
    <sheetView topLeftCell="A4" zoomScale="70" zoomScaleNormal="70" zoomScalePageLayoutView="85" workbookViewId="0">
      <selection activeCell="B12" sqref="B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  <c r="H2" s="89">
        <f>266*10^6</f>
        <v>266000000</v>
      </c>
    </row>
    <row r="3" spans="1:17" ht="18" customHeight="1" x14ac:dyDescent="0.45">
      <c r="A3" s="181" t="s">
        <v>235</v>
      </c>
      <c r="B3" s="182"/>
      <c r="C3" s="182"/>
      <c r="D3" s="182"/>
      <c r="E3" s="182"/>
      <c r="F3" s="182"/>
      <c r="G3" s="183"/>
      <c r="H3" s="95">
        <f>570*10^6</f>
        <v>570000000</v>
      </c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95">
        <f>412*10^6</f>
        <v>412000000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228*10^6</f>
        <v>228000000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129*10^6</f>
        <v>129000000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50*10^6</f>
        <v>50000000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274*10^3</f>
        <v>274000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8300</v>
      </c>
      <c r="C10" s="98" t="s">
        <v>36</v>
      </c>
      <c r="E10" s="96" t="s">
        <v>139</v>
      </c>
      <c r="F10" s="99">
        <f>F7+F8</f>
        <v>179000000</v>
      </c>
      <c r="G10" s="97" t="s">
        <v>123</v>
      </c>
      <c r="J10" s="85" t="s">
        <v>140</v>
      </c>
      <c r="K10" s="85">
        <f>B8*B12</f>
        <v>246800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3.0062451093791638</v>
      </c>
      <c r="C15" s="110">
        <f>$F$6/($F$11*B8*B12^2)</f>
        <v>1.6636502061612848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8.2257425096679392E-3</v>
      </c>
      <c r="C16" s="114">
        <f>0.85*$B$5/$B$6*(1-SQRT(1-(2*C15/(0.85*$B$5))))</f>
        <v>4.4148154922073485E-3</v>
      </c>
      <c r="E16" s="96" t="s">
        <v>151</v>
      </c>
      <c r="F16" s="110">
        <f>B22*$B$6/(0.85*$B$5*$B$8)</f>
        <v>96.095775286276037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113.05385327797181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8.2257425096679392E-3</v>
      </c>
      <c r="C18" s="114">
        <f>MAX(C16:C17)</f>
        <v>4.4148154922073485E-3</v>
      </c>
      <c r="E18" s="96" t="s">
        <v>155</v>
      </c>
      <c r="F18" s="115">
        <f>0.003*($B$12-F17)/F17</f>
        <v>1.337272809666065E-2</v>
      </c>
      <c r="G18" s="116">
        <f>0.003*($B$12-G17)/G17</f>
        <v>2.9745456193321307E-2</v>
      </c>
    </row>
    <row r="19" spans="1:18" ht="18" customHeight="1" x14ac:dyDescent="0.45">
      <c r="A19" s="94" t="s">
        <v>156</v>
      </c>
      <c r="B19" s="110">
        <f>$K$10*B18</f>
        <v>2030.1132513860473</v>
      </c>
      <c r="C19" s="117">
        <f>$K$10*C18</f>
        <v>1089.5764634767736</v>
      </c>
      <c r="E19" s="96" t="s">
        <v>157</v>
      </c>
      <c r="F19" s="118">
        <f>B22*$B$6*($B$12-F16/2)</f>
        <v>557673722.24451029</v>
      </c>
      <c r="G19" s="119">
        <f>C22*$B$6*($B$12-G16/2)</f>
        <v>290610718.60778993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501906350.02005929</v>
      </c>
      <c r="G20" s="119">
        <f>$F$11*G19</f>
        <v>261549646.74701095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4</v>
      </c>
      <c r="E21" s="96" t="s">
        <v>76</v>
      </c>
      <c r="F21" s="120">
        <f>F20/F5</f>
        <v>1.2182192961651925</v>
      </c>
      <c r="G21" s="121">
        <f>G20/F6</f>
        <v>1.1471475734518024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2513.2741228718346</v>
      </c>
      <c r="C22" s="123">
        <f>C20^2*PI()/4*C21</f>
        <v>1256.6370614359173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172351.85717015062</v>
      </c>
      <c r="C24" s="85" t="s">
        <v>136</v>
      </c>
      <c r="E24" s="96" t="s">
        <v>169</v>
      </c>
      <c r="F24" s="99">
        <f>F9</f>
        <v>274000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86175.928585075308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  <c r="H25" s="95">
        <v>20</v>
      </c>
    </row>
    <row r="26" spans="1:18" ht="18" customHeight="1" x14ac:dyDescent="0.45">
      <c r="A26" s="94" t="s">
        <v>172</v>
      </c>
      <c r="B26" s="110">
        <f>IF(F24&gt;B24,F24-B24, "N/A")</f>
        <v>101648.14282984938</v>
      </c>
      <c r="C26" s="85" t="s">
        <v>136</v>
      </c>
      <c r="D26" s="190"/>
      <c r="E26" s="190"/>
      <c r="G26" s="112"/>
      <c r="H26" s="95">
        <v>6</v>
      </c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  <c r="H27" s="123">
        <f>H25^2*PI()/4*H26</f>
        <v>1884.9555921538758</v>
      </c>
    </row>
    <row r="28" spans="1:18" ht="18" customHeight="1" x14ac:dyDescent="0.45">
      <c r="A28" s="94" t="s">
        <v>174</v>
      </c>
      <c r="B28" s="111">
        <f>4*B27^2*PI()/4</f>
        <v>201.06192982974676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201.3721962493793</v>
      </c>
      <c r="C29" s="104" t="s">
        <v>36</v>
      </c>
      <c r="D29" s="104"/>
      <c r="E29" s="105" t="s">
        <v>178</v>
      </c>
      <c r="F29" s="128">
        <f>MIN(B29,F28)</f>
        <v>201.3721962493793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7829503766.666666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75965868.936757103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150.84797273241287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2579143192.6029515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0.58888270493610162</v>
      </c>
      <c r="D38" s="118">
        <f>$B$34/F10</f>
        <v>0.42439032925562625</v>
      </c>
      <c r="E38" s="118">
        <f>B34/F8</f>
        <v>1.5193173787351419</v>
      </c>
      <c r="F38" s="118">
        <f>B34/(F7+0.5*F8)</f>
        <v>0.49328486322569548</v>
      </c>
      <c r="G38" s="119">
        <f>MAX($B$34,($F$7+0.5*$F$8))</f>
        <v>154000000</v>
      </c>
    </row>
    <row r="39" spans="1:7" ht="18" customHeight="1" x14ac:dyDescent="0.45">
      <c r="A39" s="189" t="s">
        <v>193</v>
      </c>
      <c r="B39" s="190"/>
      <c r="C39" s="118">
        <f>C38^3*$B$32+(1-C38^3)*$B$36</f>
        <v>3651342515.9938307</v>
      </c>
      <c r="D39" s="118">
        <f>D38^3*$B$32+(1-D38^3)*$B$36</f>
        <v>2980458353.4558048</v>
      </c>
      <c r="E39" s="118">
        <f>$B$32*($B$34/E38)^3+(1-($B$34/E38)^3)*$B$36</f>
        <v>6.5629507175796423E+32</v>
      </c>
      <c r="F39" s="118">
        <f>$B$32*($B$34/F38)^3+(1-($B$34/F38)^3)*$B$36</f>
        <v>1.9175702911672235E+34</v>
      </c>
      <c r="G39" s="119">
        <f>$B$32*($B$34/G38)^3+(1-($B$34/G38)^3)*$B$36</f>
        <v>3209349139.7444072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9.8483529044274931</v>
      </c>
      <c r="D40" s="110">
        <f>(5/48)*$F$10*$B$10^2/($F$31*$C$39)</f>
        <v>13.665543952655206</v>
      </c>
      <c r="E40" s="110">
        <f>D40-C40</f>
        <v>3.8171910482277127</v>
      </c>
      <c r="F40" s="110">
        <f>(5/48)*(F7+0.5*F8)*$B$10^2/($F$31*$C$39)</f>
        <v>11.756948428541349</v>
      </c>
      <c r="G40" s="112">
        <f>F40-C40</f>
        <v>1.9085955241138564</v>
      </c>
    </row>
    <row r="41" spans="1:7" ht="18" customHeight="1" x14ac:dyDescent="0.45">
      <c r="A41" s="94" t="s">
        <v>195</v>
      </c>
      <c r="B41" s="110">
        <f>E40+(C40*F34)+(G40*F35)</f>
        <v>26.94936880048764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34.583333333333336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sheetPr codeName="Sheet35"/>
  <dimension ref="A1:R51"/>
  <sheetViews>
    <sheetView view="pageLayout" topLeftCell="A12" zoomScale="85" zoomScaleNormal="100" zoomScalePageLayoutView="85" workbookViewId="0">
      <selection activeCell="A4" sqref="A4:D4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242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751*10^6</f>
        <v>751000000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465*10^6</f>
        <v>465000000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262*10^6</f>
        <v>262000000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95*10^6</f>
        <v>95000000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437*10^3</f>
        <v>437000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9800</v>
      </c>
      <c r="C10" s="98" t="s">
        <v>36</v>
      </c>
      <c r="E10" s="96" t="s">
        <v>139</v>
      </c>
      <c r="F10" s="99">
        <f>F7+F8</f>
        <v>357000000</v>
      </c>
      <c r="G10" s="97" t="s">
        <v>123</v>
      </c>
      <c r="J10" s="85" t="s">
        <v>140</v>
      </c>
      <c r="K10" s="85">
        <f>B8*B12</f>
        <v>360600</v>
      </c>
    </row>
    <row r="11" spans="1:17" ht="18" customHeight="1" x14ac:dyDescent="0.45">
      <c r="A11" s="94" t="s">
        <v>141</v>
      </c>
      <c r="B11" s="95">
        <f>40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3.8503236168801878</v>
      </c>
      <c r="C15" s="110">
        <f>$F$6/($F$11*B8*B12^2)</f>
        <v>2.3840219465370005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1.0757585475358556E-2</v>
      </c>
      <c r="C16" s="114">
        <f>0.85*$B$5/$B$6*(1-SQRT(1-(2*C15/(0.85*$B$5))))</f>
        <v>6.428939373710538E-3</v>
      </c>
      <c r="E16" s="96" t="s">
        <v>151</v>
      </c>
      <c r="F16" s="110">
        <f>B22*$B$6/(0.85*$B$5*$B$8)</f>
        <v>109.86950307730891</v>
      </c>
      <c r="G16" s="112">
        <f>C22*$B$6/(0.85*$B$5*$B$8)</f>
        <v>109.86950307730891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129.25823891448107</v>
      </c>
      <c r="G17" s="112">
        <f>G16/G15</f>
        <v>129.25823891448107</v>
      </c>
    </row>
    <row r="18" spans="1:18" ht="18" customHeight="1" x14ac:dyDescent="0.45">
      <c r="A18" s="94" t="s">
        <v>154</v>
      </c>
      <c r="B18" s="113">
        <f>MAX(B16:B17)</f>
        <v>1.0757585475358556E-2</v>
      </c>
      <c r="C18" s="114">
        <f>MAX(C16:C17)</f>
        <v>6.428939373710538E-3</v>
      </c>
      <c r="E18" s="96" t="s">
        <v>155</v>
      </c>
      <c r="F18" s="115">
        <f>0.003*($B$12-F17)/F17</f>
        <v>1.0948820710708339E-2</v>
      </c>
      <c r="G18" s="116">
        <f>0.003*($B$12-G17)/G17</f>
        <v>1.0948820710708339E-2</v>
      </c>
    </row>
    <row r="19" spans="1:18" ht="18" customHeight="1" x14ac:dyDescent="0.45">
      <c r="A19" s="94" t="s">
        <v>156</v>
      </c>
      <c r="B19" s="110">
        <f>$K$10*B18</f>
        <v>3879.1853224142956</v>
      </c>
      <c r="C19" s="117">
        <f>$K$10*C18</f>
        <v>2318.27553816002</v>
      </c>
      <c r="D19" s="117"/>
      <c r="E19" s="96" t="s">
        <v>157</v>
      </c>
      <c r="F19" s="118">
        <f>B22*$B$6*($B$12-F16/2)</f>
        <v>917937537.69239938</v>
      </c>
      <c r="G19" s="119">
        <f>C22*$B$6*($B$12-G16/2)</f>
        <v>917937537.69239938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D20" s="95"/>
      <c r="E20" s="96" t="s">
        <v>162</v>
      </c>
      <c r="F20" s="118">
        <f>$F$11*F19</f>
        <v>826143783.92315948</v>
      </c>
      <c r="G20" s="119">
        <f>$F$11*G19</f>
        <v>826143783.92315948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7</v>
      </c>
      <c r="C21" s="95">
        <v>7</v>
      </c>
      <c r="D21" s="95"/>
      <c r="E21" s="96" t="s">
        <v>76</v>
      </c>
      <c r="F21" s="120">
        <f>F20/F5</f>
        <v>1.1000583008297729</v>
      </c>
      <c r="G21" s="121">
        <f>G20/F6</f>
        <v>1.7766532987594827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4310.2651207251956</v>
      </c>
      <c r="C22" s="123">
        <f>C20^2*PI()/4*C21</f>
        <v>4310.2651207251956</v>
      </c>
      <c r="D22" s="123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251823.66165136269</v>
      </c>
      <c r="C24" s="85" t="s">
        <v>136</v>
      </c>
      <c r="E24" s="96" t="s">
        <v>169</v>
      </c>
      <c r="F24" s="99">
        <f>F9</f>
        <v>437000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125911.83082568135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185176.33834863731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4*B27^2*PI()/4</f>
        <v>314.15926535897933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298.23919809690301</v>
      </c>
      <c r="C29" s="104" t="s">
        <v>36</v>
      </c>
      <c r="D29" s="104"/>
      <c r="E29" s="105" t="s">
        <v>178</v>
      </c>
      <c r="F29" s="128">
        <f>MIN(B29,F28)</f>
        <v>298.23919809690301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10854090050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105311959.31937066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209.1420843224941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6971600100.027873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0.40195404320370481</v>
      </c>
      <c r="D38" s="118">
        <f>$B$34/F10</f>
        <v>0.29499148268731279</v>
      </c>
      <c r="E38" s="118">
        <f>B34/F8</f>
        <v>1.1085469402039017</v>
      </c>
      <c r="F38" s="118">
        <f>B34/(F7+0.5*F8)</f>
        <v>0.3402648120173527</v>
      </c>
      <c r="G38" s="119">
        <f>MAX($B$34,($F$7+0.5*$F$8))</f>
        <v>309500000</v>
      </c>
    </row>
    <row r="39" spans="1:7" ht="18" customHeight="1" x14ac:dyDescent="0.45">
      <c r="A39" s="189" t="s">
        <v>193</v>
      </c>
      <c r="B39" s="190"/>
      <c r="C39" s="118">
        <f>C38^3*$B$32+(1-C38^3)*$B$36</f>
        <v>7223738820.6248341</v>
      </c>
      <c r="D39" s="118">
        <f>D38^3*$B$32+(1-D38^3)*$B$36</f>
        <v>7071264204.8790045</v>
      </c>
      <c r="E39" s="118">
        <f>$B$32*($B$34/E38)^3+(1-($B$34/E38)^3)*$B$36</f>
        <v>3.3287498208573522E+33</v>
      </c>
      <c r="F39" s="118">
        <f>$B$32*($B$34/F38)^3+(1-($B$34/F38)^3)*$B$36</f>
        <v>1.1510449936693329E+35</v>
      </c>
      <c r="G39" s="119">
        <f>$B$32*($B$34/G38)^3+(1-($B$34/G38)^3)*$B$36</f>
        <v>7124554318.282692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14.094889939123945</v>
      </c>
      <c r="D40" s="110">
        <f>(5/48)*$F$10*$B$10^2/($F$31*$C$39)</f>
        <v>19.205632474302472</v>
      </c>
      <c r="E40" s="110">
        <f>D40-C40</f>
        <v>5.1107425351785274</v>
      </c>
      <c r="F40" s="110">
        <f>(5/48)*(F7+0.5*F8)*$B$10^2/($F$31*$C$39)</f>
        <v>16.650261206713211</v>
      </c>
      <c r="G40" s="112">
        <f>F40-C40</f>
        <v>2.5553712675892655</v>
      </c>
    </row>
    <row r="41" spans="1:7" ht="18" customHeight="1" x14ac:dyDescent="0.45">
      <c r="A41" s="94" t="s">
        <v>195</v>
      </c>
      <c r="B41" s="110">
        <f>E40+(C40*F34)+(G40*F35)</f>
        <v>37.900190695087097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40.833333333333336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 codeName="Sheet36"/>
  <dimension ref="A1:R51"/>
  <sheetViews>
    <sheetView view="pageLayout" topLeftCell="A13" zoomScale="85" zoomScaleNormal="100" zoomScalePageLayoutView="85" workbookViewId="0">
      <selection activeCell="F21" sqref="F21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243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540*10^6</f>
        <v>540000000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313*10^6</f>
        <v>313000000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197*10^6</f>
        <v>197000000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56*10^6</f>
        <v>56000000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327*10^3</f>
        <v>327000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9300</v>
      </c>
      <c r="C10" s="98" t="s">
        <v>36</v>
      </c>
      <c r="E10" s="96" t="s">
        <v>139</v>
      </c>
      <c r="F10" s="99">
        <f>F7+F8</f>
        <v>253000000</v>
      </c>
      <c r="G10" s="97" t="s">
        <v>123</v>
      </c>
      <c r="J10" s="85" t="s">
        <v>140</v>
      </c>
      <c r="K10" s="85">
        <f>B8*B12</f>
        <v>360600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2.7685416153332909</v>
      </c>
      <c r="C15" s="110">
        <f>$F$6/($F$11*B8*B12^2)</f>
        <v>1.604728751109852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7.5327347796323172E-3</v>
      </c>
      <c r="C16" s="114">
        <f>0.85*$B$5/$B$6*(1-SQRT(1-(2*C15/(0.85*$B$5))))</f>
        <v>4.2530098124966441E-3</v>
      </c>
      <c r="E16" s="96" t="s">
        <v>151</v>
      </c>
      <c r="F16" s="110">
        <f>B22*$B$6/(0.85*$B$5*$B$8)</f>
        <v>78.478216483792082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92.327313510343629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7.5327347796323172E-3</v>
      </c>
      <c r="C18" s="114">
        <f>MAX(C16:C17)</f>
        <v>4.2530098124966441E-3</v>
      </c>
      <c r="E18" s="96" t="s">
        <v>155</v>
      </c>
      <c r="F18" s="115">
        <f>0.003*($B$12-F17)/F17</f>
        <v>1.6528348994991674E-2</v>
      </c>
      <c r="G18" s="116">
        <f>0.003*($B$12-G17)/G17</f>
        <v>2.8896303358486395E-2</v>
      </c>
    </row>
    <row r="19" spans="1:18" ht="18" customHeight="1" x14ac:dyDescent="0.45">
      <c r="A19" s="94" t="s">
        <v>156</v>
      </c>
      <c r="B19" s="110">
        <f>$K$10*B18</f>
        <v>2716.3041615354136</v>
      </c>
      <c r="C19" s="117">
        <f>$K$10*C18</f>
        <v>1533.63533838629</v>
      </c>
      <c r="E19" s="96" t="s">
        <v>157</v>
      </c>
      <c r="F19" s="118">
        <f>B22*$B$6*($B$12-F16/2)</f>
        <v>674515690.9954648</v>
      </c>
      <c r="G19" s="119">
        <f>C22*$B$6*($B$12-G16/2)</f>
        <v>424153955.01664478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20</v>
      </c>
      <c r="E20" s="96" t="s">
        <v>162</v>
      </c>
      <c r="F20" s="118">
        <f>$F$11*F19</f>
        <v>607064121.89591837</v>
      </c>
      <c r="G20" s="119">
        <f>$F$11*G19</f>
        <v>381738559.51498032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5</v>
      </c>
      <c r="C21" s="95">
        <v>6</v>
      </c>
      <c r="E21" s="96" t="s">
        <v>76</v>
      </c>
      <c r="F21" s="120">
        <f>F20/F5</f>
        <v>1.1241928183257748</v>
      </c>
      <c r="G21" s="121">
        <f>G20/F6</f>
        <v>1.2196120112299691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3078.7608005179973</v>
      </c>
      <c r="C22" s="123">
        <f>C20^2*PI()/4*C21</f>
        <v>1884.9555921538758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251823.66165136269</v>
      </c>
      <c r="C24" s="85" t="s">
        <v>136</v>
      </c>
      <c r="E24" s="96" t="s">
        <v>169</v>
      </c>
      <c r="F24" s="99">
        <f>F9</f>
        <v>327000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125911.83082568135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75176.338348637306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157.07963267948966</v>
      </c>
      <c r="C28" s="85" t="s">
        <v>175</v>
      </c>
      <c r="E28" s="96" t="s">
        <v>176</v>
      </c>
      <c r="F28" s="111">
        <f>MIN((B28*B7/(B8*0.062*SQRT(B5))),(B28*B7/(0.345*B8)),B12/2,600)</f>
        <v>295.94713403382116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367.31532732745461</v>
      </c>
      <c r="C29" s="104" t="s">
        <v>36</v>
      </c>
      <c r="D29" s="104"/>
      <c r="E29" s="105" t="s">
        <v>178</v>
      </c>
      <c r="F29" s="128">
        <f>MIN(B29,F28)</f>
        <v>295.94713403382116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10854090050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105311959.31937066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148.60534253999484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3653490355.0078959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0.53457847370238909</v>
      </c>
      <c r="D38" s="118">
        <f>$B$34/F10</f>
        <v>0.41625280363387612</v>
      </c>
      <c r="E38" s="118">
        <f>B34/F8</f>
        <v>1.8805707021316189</v>
      </c>
      <c r="F38" s="118">
        <f>B34/(F7+0.5*F8)</f>
        <v>0.46805315253053625</v>
      </c>
      <c r="G38" s="119">
        <f>MAX($B$34,($F$7+0.5*$F$8))</f>
        <v>225000000</v>
      </c>
    </row>
    <row r="39" spans="1:7" ht="18" customHeight="1" x14ac:dyDescent="0.45">
      <c r="A39" s="189" t="s">
        <v>193</v>
      </c>
      <c r="B39" s="190"/>
      <c r="C39" s="118">
        <f>C38^3*$B$32+(1-C38^3)*$B$36</f>
        <v>4753516652.9437981</v>
      </c>
      <c r="D39" s="118">
        <f>D38^3*$B$32+(1-D38^3)*$B$36</f>
        <v>4172816494.5773935</v>
      </c>
      <c r="E39" s="118">
        <f>$B$32*($B$34/E38)^3+(1-($B$34/E38)^3)*$B$36</f>
        <v>1.2645405160357332E+33</v>
      </c>
      <c r="F39" s="118">
        <f>$B$32*($B$34/F38)^3+(1-($B$34/F38)^3)*$B$36</f>
        <v>8.2019330900769429E+34</v>
      </c>
      <c r="G39" s="119">
        <f>$B$32*($B$34/G38)^3+(1-($B$34/G38)^3)*$B$36</f>
        <v>4391826605.874649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14.50398644559252</v>
      </c>
      <c r="D40" s="110">
        <f>(5/48)*$F$10*$B$10^2/($F$31*$C$39)</f>
        <v>18.626947059568057</v>
      </c>
      <c r="E40" s="110">
        <f>D40-C40</f>
        <v>4.1229606139755361</v>
      </c>
      <c r="F40" s="110">
        <f>(5/48)*(F7+0.5*F8)*$B$10^2/($F$31*$C$39)</f>
        <v>16.565466752580289</v>
      </c>
      <c r="G40" s="112">
        <f>F40-C40</f>
        <v>2.0614803069877681</v>
      </c>
    </row>
    <row r="41" spans="1:7" ht="18" customHeight="1" x14ac:dyDescent="0.45">
      <c r="A41" s="94" t="s">
        <v>195</v>
      </c>
      <c r="B41" s="110">
        <f>E40+(C40*F34)+(G40*F35)</f>
        <v>36.841598057738558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38.75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sheetPr codeName="Sheet37"/>
  <dimension ref="A1:R51"/>
  <sheetViews>
    <sheetView topLeftCell="A13" zoomScaleNormal="100" zoomScalePageLayoutView="85" workbookViewId="0">
      <selection activeCell="A4" sqref="A4:D4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244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641*10^6</f>
        <v>641000000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260*10^6</f>
        <v>260000000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148*10^6</f>
        <v>148000000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52*10^6</f>
        <v>52000000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339*10^3</f>
        <v>339000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8000</v>
      </c>
      <c r="C10" s="98" t="s">
        <v>36</v>
      </c>
      <c r="E10" s="96" t="s">
        <v>139</v>
      </c>
      <c r="F10" s="99">
        <f>F7+F8</f>
        <v>200000000</v>
      </c>
      <c r="G10" s="97" t="s">
        <v>123</v>
      </c>
      <c r="J10" s="85" t="s">
        <v>140</v>
      </c>
      <c r="K10" s="85">
        <f>B8*B12</f>
        <v>360600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3.2863614359789621</v>
      </c>
      <c r="C15" s="110">
        <f>$F$6/($F$11*B8*B12^2)</f>
        <v>1.3330015184938067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9.0533439469653899E-3</v>
      </c>
      <c r="C16" s="114">
        <f>0.85*$B$5/$B$6*(1-SQRT(1-(2*C15/(0.85*$B$5))))</f>
        <v>3.5122880065411735E-3</v>
      </c>
      <c r="E16" s="96" t="s">
        <v>151</v>
      </c>
      <c r="F16" s="110">
        <f>B22*$B$6/(0.85*$B$5*$B$8)</f>
        <v>94.173859780550501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110.79277621241236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9.0533439469653899E-3</v>
      </c>
      <c r="C18" s="114">
        <f>MAX(C16:C17)</f>
        <v>3.5897435897435893E-3</v>
      </c>
      <c r="E18" s="96" t="s">
        <v>155</v>
      </c>
      <c r="F18" s="115">
        <f>0.003*($B$12-F17)/F17</f>
        <v>1.3273624162493058E-2</v>
      </c>
      <c r="G18" s="116">
        <f>0.003*($B$12-G17)/G17</f>
        <v>2.8896303358486395E-2</v>
      </c>
    </row>
    <row r="19" spans="1:18" ht="18" customHeight="1" x14ac:dyDescent="0.45">
      <c r="A19" s="94" t="s">
        <v>156</v>
      </c>
      <c r="B19" s="110">
        <f>$K$10*B18</f>
        <v>3264.6358272757197</v>
      </c>
      <c r="C19" s="117">
        <f>$K$10*C18</f>
        <v>1294.4615384615383</v>
      </c>
      <c r="E19" s="96" t="s">
        <v>157</v>
      </c>
      <c r="F19" s="118">
        <f>B22*$B$6*($B$12-F16/2)</f>
        <v>798111216.46545017</v>
      </c>
      <c r="G19" s="119">
        <f>C22*$B$6*($B$12-G16/2)</f>
        <v>424153955.01664478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20</v>
      </c>
      <c r="E20" s="96" t="s">
        <v>162</v>
      </c>
      <c r="F20" s="118">
        <f>$F$11*F19</f>
        <v>718300094.81890512</v>
      </c>
      <c r="G20" s="119">
        <f>$F$11*G19</f>
        <v>381738559.51498032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6</v>
      </c>
      <c r="C21" s="95">
        <v>6</v>
      </c>
      <c r="E21" s="96" t="s">
        <v>76</v>
      </c>
      <c r="F21" s="120">
        <f>F20/F5</f>
        <v>1.1205929716363574</v>
      </c>
      <c r="G21" s="121">
        <f>G20/F6</f>
        <v>1.4682252289037705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3694.5129606215964</v>
      </c>
      <c r="C22" s="123">
        <f>C20^2*PI()/4*C21</f>
        <v>1884.9555921538758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251823.66165136269</v>
      </c>
      <c r="C24" s="85" t="s">
        <v>136</v>
      </c>
      <c r="E24" s="96" t="s">
        <v>169</v>
      </c>
      <c r="F24" s="99">
        <f>F9</f>
        <v>339000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125911.83082568135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87176.338348637306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157.07963267948966</v>
      </c>
      <c r="C28" s="85" t="s">
        <v>175</v>
      </c>
      <c r="E28" s="96" t="s">
        <v>176</v>
      </c>
      <c r="F28" s="111">
        <f>MIN((B28*B7/(B8*0.062*SQRT(B5))),(B28*B7/(0.345*B8)),B12/2,600)</f>
        <v>295.94713403382116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316.75362662488823</v>
      </c>
      <c r="C29" s="104" t="s">
        <v>36</v>
      </c>
      <c r="D29" s="104"/>
      <c r="E29" s="105" t="s">
        <v>178</v>
      </c>
      <c r="F29" s="128">
        <f>MIN(B29,F28)</f>
        <v>295.94713403382116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10854090050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105311959.31937066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148.60534253999484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3653490355.0078959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0.71156729269845043</v>
      </c>
      <c r="D38" s="118">
        <f>$B$34/F10</f>
        <v>0.52655979659685326</v>
      </c>
      <c r="E38" s="118">
        <f>B34/F8</f>
        <v>2.0252299869109742</v>
      </c>
      <c r="F38" s="118">
        <f>B34/(F7+0.5*F8)</f>
        <v>0.60524114551362451</v>
      </c>
      <c r="G38" s="119">
        <f>MAX($B$34,($F$7+0.5*$F$8))</f>
        <v>174000000</v>
      </c>
    </row>
    <row r="39" spans="1:7" ht="18" customHeight="1" x14ac:dyDescent="0.45">
      <c r="A39" s="189" t="s">
        <v>193</v>
      </c>
      <c r="B39" s="190"/>
      <c r="C39" s="118">
        <f>C38^3*$B$32+(1-C38^3)*$B$36</f>
        <v>6247768876.7418957</v>
      </c>
      <c r="D39" s="118">
        <f>D38^3*$B$32+(1-D38^3)*$B$36</f>
        <v>4704754274.6990337</v>
      </c>
      <c r="E39" s="118">
        <f>$B$32*($B$34/E38)^3+(1-($B$34/E38)^3)*$B$36</f>
        <v>1.0124619219134496E+33</v>
      </c>
      <c r="F39" s="118">
        <f>$B$32*($B$34/F38)^3+(1-($B$34/F38)^3)*$B$36</f>
        <v>3.7932932007611089E+34</v>
      </c>
      <c r="G39" s="119">
        <f>$B$32*($B$34/G38)^3+(1-($B$34/G38)^3)*$B$36</f>
        <v>5249935503.6118326</v>
      </c>
    </row>
    <row r="40" spans="1:7" ht="18" customHeight="1" x14ac:dyDescent="0.45">
      <c r="A40" s="189" t="s">
        <v>194</v>
      </c>
      <c r="B40" s="190"/>
      <c r="C40" s="110">
        <f>(5/48)*$F$7*$B$10^2/($F$31*$C$39)</f>
        <v>6.1346108119048646</v>
      </c>
      <c r="D40" s="110">
        <f>(5/48)*$F$10*$B$10^2/($F$31*$C$39)</f>
        <v>8.290014610682249</v>
      </c>
      <c r="E40" s="110">
        <f>D40-C40</f>
        <v>2.1554037987773844</v>
      </c>
      <c r="F40" s="110">
        <f>(5/48)*(F7+0.5*F8)*$B$10^2/($F$31*$C$39)</f>
        <v>7.2123127112935563</v>
      </c>
      <c r="G40" s="112">
        <f>F40-C40</f>
        <v>1.0777018993886918</v>
      </c>
    </row>
    <row r="41" spans="1:7" ht="18" customHeight="1" x14ac:dyDescent="0.45">
      <c r="A41" s="94" t="s">
        <v>195</v>
      </c>
      <c r="B41" s="110">
        <f>E40+(C40*F34)+(G40*F35)</f>
        <v>16.364488841486757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33.333333333333336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 codeName="Sheet38"/>
  <dimension ref="A1:R51"/>
  <sheetViews>
    <sheetView view="pageLayout" topLeftCell="A25" zoomScaleNormal="100" workbookViewId="0">
      <selection activeCell="G42" sqref="A3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107*10^6</f>
        <v>107000000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115*10^6</f>
        <v>115000000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74*10^6</f>
        <v>74000000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250</v>
      </c>
      <c r="C8" s="98" t="s">
        <v>36</v>
      </c>
      <c r="E8" s="96" t="s">
        <v>132</v>
      </c>
      <c r="F8" s="95">
        <f>17*10^6</f>
        <v>17000000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88*10^3</f>
        <v>88000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9800</v>
      </c>
      <c r="C10" s="98" t="s">
        <v>36</v>
      </c>
      <c r="E10" s="96" t="s">
        <v>139</v>
      </c>
      <c r="F10" s="99">
        <f>F7+F8</f>
        <v>91000000</v>
      </c>
      <c r="G10" s="97" t="s">
        <v>123</v>
      </c>
      <c r="J10" s="85" t="s">
        <v>140</v>
      </c>
      <c r="K10" s="85">
        <f>B8*B12</f>
        <v>160500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1.1538017768547364</v>
      </c>
      <c r="C15" s="110">
        <f>$F$6/($F$11*B8*B12^2)</f>
        <v>1.2400673302644363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3.0286085082962748E-3</v>
      </c>
      <c r="C16" s="114">
        <f>0.85*$B$5/$B$6*(1-SQRT(1-(2*C15/(0.85*$B$5))))</f>
        <v>3.2609784976049471E-3</v>
      </c>
      <c r="E16" s="96" t="s">
        <v>151</v>
      </c>
      <c r="F16" s="110">
        <f>B22*$B$6/(0.85*$B$5*$B$8)</f>
        <v>38.438310114510415</v>
      </c>
      <c r="G16" s="112">
        <f>C22*$B$6/(0.85*$B$5*$B$8)</f>
        <v>38.438310114510415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45.221541311188723</v>
      </c>
      <c r="G17" s="112">
        <f>G16/G15</f>
        <v>45.221541311188723</v>
      </c>
    </row>
    <row r="18" spans="1:18" ht="18" customHeight="1" x14ac:dyDescent="0.45">
      <c r="A18" s="94" t="s">
        <v>154</v>
      </c>
      <c r="B18" s="113">
        <f>MAX(B16:B17)</f>
        <v>3.5897435897435893E-3</v>
      </c>
      <c r="C18" s="114">
        <f>MAX(C16:C17)</f>
        <v>3.5897435897435893E-3</v>
      </c>
      <c r="E18" s="96" t="s">
        <v>155</v>
      </c>
      <c r="F18" s="115">
        <f>0.003*($B$12-F17)/F17</f>
        <v>3.9590321872188569E-2</v>
      </c>
      <c r="G18" s="116">
        <f>0.003*($B$12-G17)/G17</f>
        <v>3.9590321872188569E-2</v>
      </c>
    </row>
    <row r="19" spans="1:18" ht="18" customHeight="1" x14ac:dyDescent="0.45">
      <c r="A19" s="94" t="s">
        <v>156</v>
      </c>
      <c r="B19" s="110">
        <f>$K$10*B18</f>
        <v>576.15384615384608</v>
      </c>
      <c r="C19" s="117">
        <f>$K$10*C18</f>
        <v>576.15384615384608</v>
      </c>
      <c r="E19" s="96" t="s">
        <v>157</v>
      </c>
      <c r="F19" s="118">
        <f>B22*$B$6*($B$12-F16/2)</f>
        <v>152608850.72694856</v>
      </c>
      <c r="G19" s="119">
        <f>C22*$B$6*($B$12-G16/2)</f>
        <v>152608850.72694856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137347965.65425372</v>
      </c>
      <c r="G20" s="119">
        <f>$F$11*G19</f>
        <v>137347965.65425372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2</v>
      </c>
      <c r="C21" s="95">
        <v>2</v>
      </c>
      <c r="E21" s="96" t="s">
        <v>76</v>
      </c>
      <c r="F21" s="120">
        <f>F20/F5</f>
        <v>1.283625847236016</v>
      </c>
      <c r="G21" s="121">
        <f>G20/F6</f>
        <v>1.1943301361239453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628.31853071795865</v>
      </c>
      <c r="C22" s="123">
        <f>C20^2*PI()/4*C21</f>
        <v>628.31853071795865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112084.57486146342</v>
      </c>
      <c r="C24" s="85" t="s">
        <v>136</v>
      </c>
      <c r="E24" s="96" t="s">
        <v>169</v>
      </c>
      <c r="F24" s="99">
        <f>F9</f>
        <v>88000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56042.287430731711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256.42680905822778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256.42680905822778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5512693500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53486985.176814444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140.01259169060998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1458818762.2616506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0.72279709698397898</v>
      </c>
      <c r="D38" s="118">
        <f>$B$34/F10</f>
        <v>0.58776906787708183</v>
      </c>
      <c r="E38" s="118">
        <f>B34/F8</f>
        <v>3.1462932456949675</v>
      </c>
      <c r="F38" s="118">
        <f>B34/(F7+0.5*F8)</f>
        <v>0.6483270930522963</v>
      </c>
      <c r="G38" s="119">
        <f>MAX($B$34,($F$7+0.5*$F$8))</f>
        <v>82500000</v>
      </c>
    </row>
    <row r="39" spans="1:7" ht="18" customHeight="1" x14ac:dyDescent="0.45">
      <c r="A39" s="189" t="s">
        <v>193</v>
      </c>
      <c r="B39" s="190"/>
      <c r="C39" s="118">
        <f>C38^3*$B$32+(1-C38^3)*$B$36</f>
        <v>2989622535.2098103</v>
      </c>
      <c r="D39" s="118">
        <f>D38^3*$B$32+(1-D38^3)*$B$36</f>
        <v>2281990604.1838388</v>
      </c>
      <c r="E39" s="118">
        <f>$B$32*($B$34/E38)^3+(1-($B$34/E38)^3)*$B$36</f>
        <v>1.991668658650851E+31</v>
      </c>
      <c r="F39" s="118">
        <f>$B$32*($B$34/F38)^3+(1-($B$34/F38)^3)*$B$36</f>
        <v>2.2763140070328603E+33</v>
      </c>
      <c r="G39" s="119">
        <f>$B$32*($B$34/G38)^3+(1-($B$34/G38)^3)*$B$36</f>
        <v>2563540341.6284676</v>
      </c>
    </row>
    <row r="40" spans="1:7" ht="18" customHeight="1" x14ac:dyDescent="0.45">
      <c r="A40" s="189" t="s">
        <v>194</v>
      </c>
      <c r="B40" s="190"/>
      <c r="C40" s="110">
        <f>(5/48)*$F$7*$B$10^2/($F$31*$C$39)</f>
        <v>9.6191743011032624</v>
      </c>
      <c r="D40" s="110">
        <f>(5/48)*$F$10*$B$10^2/($F$31*$C$39)</f>
        <v>11.828984613518877</v>
      </c>
      <c r="E40" s="110">
        <f>D40-C40</f>
        <v>2.2098103124156143</v>
      </c>
      <c r="F40" s="110">
        <f>(5/48)*(F7+0.5*F8)*$B$10^2/($F$31*$C$39)</f>
        <v>10.724079457311069</v>
      </c>
      <c r="G40" s="112">
        <f>F40-C40</f>
        <v>1.1049051562078063</v>
      </c>
    </row>
    <row r="41" spans="1:7" ht="18" customHeight="1" x14ac:dyDescent="0.45">
      <c r="A41" s="94" t="s">
        <v>195</v>
      </c>
      <c r="B41" s="110">
        <f>E40+(C40*F34)+(G40*F35)</f>
        <v>23.436988195796193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40.833333333333336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sheetPr codeName="Sheet67"/>
  <dimension ref="A1:R51"/>
  <sheetViews>
    <sheetView view="pageLayout" topLeftCell="A16" zoomScaleNormal="100" workbookViewId="0">
      <selection activeCell="B12" sqref="B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160*10^6</f>
        <v>160000000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113*10^6</f>
        <v>113000000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75*10^6</f>
        <v>75000000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250</v>
      </c>
      <c r="C8" s="98" t="s">
        <v>36</v>
      </c>
      <c r="E8" s="96" t="s">
        <v>132</v>
      </c>
      <c r="F8" s="95">
        <f>18*10^6</f>
        <v>18000000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88*10^3</f>
        <v>88000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9800</v>
      </c>
      <c r="C10" s="98" t="s">
        <v>36</v>
      </c>
      <c r="E10" s="96" t="s">
        <v>139</v>
      </c>
      <c r="F10" s="99">
        <f>F7+F8</f>
        <v>93000000</v>
      </c>
      <c r="G10" s="97" t="s">
        <v>123</v>
      </c>
      <c r="J10" s="85" t="s">
        <v>140</v>
      </c>
      <c r="K10" s="85">
        <f>B8*B12</f>
        <v>160500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1.7253110681939983</v>
      </c>
      <c r="C15" s="110">
        <f>$F$6/($F$11*B8*B12^2)</f>
        <v>1.2185009419120112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4.584605029472809E-3</v>
      </c>
      <c r="C16" s="114">
        <f>0.85*$B$5/$B$6*(1-SQRT(1-(2*C15/(0.85*$B$5))))</f>
        <v>3.2028045920553818E-3</v>
      </c>
      <c r="E16" s="96" t="s">
        <v>151</v>
      </c>
      <c r="F16" s="110">
        <f>B22*$B$6/(0.85*$B$5*$B$8)</f>
        <v>57.657465171765615</v>
      </c>
      <c r="G16" s="112">
        <f>C22*$B$6/(0.85*$B$5*$B$8)</f>
        <v>38.438310114510415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67.832311966783081</v>
      </c>
      <c r="G17" s="112">
        <f>G16/G15</f>
        <v>45.221541311188723</v>
      </c>
    </row>
    <row r="18" spans="1:18" ht="18" customHeight="1" x14ac:dyDescent="0.45">
      <c r="A18" s="94" t="s">
        <v>154</v>
      </c>
      <c r="B18" s="113">
        <f>MAX(B16:B17)</f>
        <v>4.584605029472809E-3</v>
      </c>
      <c r="C18" s="114">
        <f>MAX(C16:C17)</f>
        <v>3.5897435897435893E-3</v>
      </c>
      <c r="E18" s="96" t="s">
        <v>155</v>
      </c>
      <c r="F18" s="115">
        <f>0.003*($B$12-F17)/F17</f>
        <v>2.5393547914792383E-2</v>
      </c>
      <c r="G18" s="116">
        <f>0.003*($B$12-G17)/G17</f>
        <v>3.9590321872188569E-2</v>
      </c>
    </row>
    <row r="19" spans="1:18" ht="18" customHeight="1" x14ac:dyDescent="0.45">
      <c r="A19" s="94" t="s">
        <v>156</v>
      </c>
      <c r="B19" s="110">
        <f>$K$10*B18</f>
        <v>735.82910723038583</v>
      </c>
      <c r="C19" s="117">
        <f>$K$10*C18</f>
        <v>576.15384615384608</v>
      </c>
      <c r="E19" s="96" t="s">
        <v>157</v>
      </c>
      <c r="F19" s="118">
        <f>B22*$B$6*($B$12-F16/2)</f>
        <v>225381118.84476238</v>
      </c>
      <c r="G19" s="119">
        <f>C22*$B$6*($B$12-G16/2)</f>
        <v>152608850.72694856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202843006.96028614</v>
      </c>
      <c r="G20" s="119">
        <f>$F$11*G19</f>
        <v>137347965.65425372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3</v>
      </c>
      <c r="C21" s="95">
        <v>2</v>
      </c>
      <c r="E21" s="96" t="s">
        <v>76</v>
      </c>
      <c r="F21" s="120">
        <f>F20/F5</f>
        <v>1.2677687935017883</v>
      </c>
      <c r="G21" s="121">
        <f>G20/F6</f>
        <v>1.2154687226040153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942.47779607693792</v>
      </c>
      <c r="C22" s="123">
        <f>C20^2*PI()/4*C21</f>
        <v>628.31853071795865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112084.57486146342</v>
      </c>
      <c r="C24" s="85" t="s">
        <v>136</v>
      </c>
      <c r="E24" s="96" t="s">
        <v>169</v>
      </c>
      <c r="F24" s="99">
        <f>F9</f>
        <v>88000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56042.287430731711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256.42680905822778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256.42680905822778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5512693500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53486985.176814444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140.01259169060998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1458818762.2616506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0.71315980235752596</v>
      </c>
      <c r="D38" s="118">
        <f>$B$34/F10</f>
        <v>0.57512887286897252</v>
      </c>
      <c r="E38" s="118">
        <f>B34/F8</f>
        <v>2.9714991764896914</v>
      </c>
      <c r="F38" s="118">
        <f>B34/(F7+0.5*F8)</f>
        <v>0.63674982353350529</v>
      </c>
      <c r="G38" s="119">
        <f>MAX($B$34,($F$7+0.5*$F$8))</f>
        <v>84000000</v>
      </c>
    </row>
    <row r="39" spans="1:7" ht="18" customHeight="1" x14ac:dyDescent="0.45">
      <c r="A39" s="189" t="s">
        <v>193</v>
      </c>
      <c r="B39" s="190"/>
      <c r="C39" s="118">
        <f>C38^3*$B$32+(1-C38^3)*$B$36</f>
        <v>2929203184.3988838</v>
      </c>
      <c r="D39" s="118">
        <f>D38^3*$B$32+(1-D38^3)*$B$36</f>
        <v>2230016660.818069</v>
      </c>
      <c r="E39" s="118">
        <f>$B$32*($B$34/E38)^3+(1-($B$34/E38)^3)*$B$36</f>
        <v>2.3642197470490051E+31</v>
      </c>
      <c r="F39" s="118">
        <f>$B$32*($B$34/F38)^3+(1-($B$34/F38)^3)*$B$36</f>
        <v>2.4027477725564707E+33</v>
      </c>
      <c r="G39" s="119">
        <f>$B$32*($B$34/G38)^3+(1-($B$34/G38)^3)*$B$36</f>
        <v>2505409350.6314697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9.950254726956075</v>
      </c>
      <c r="D40" s="110">
        <f>(5/48)*$F$10*$B$10^2/($F$31*$C$39)</f>
        <v>12.338315861425533</v>
      </c>
      <c r="E40" s="110">
        <f>D40-C40</f>
        <v>2.3880611344694582</v>
      </c>
      <c r="F40" s="110">
        <f>(5/48)*(F7+0.5*F8)*$B$10^2/($F$31*$C$39)</f>
        <v>11.144285294190805</v>
      </c>
      <c r="G40" s="112">
        <f>F40-C40</f>
        <v>1.19403056723473</v>
      </c>
    </row>
    <row r="41" spans="1:7" ht="18" customHeight="1" x14ac:dyDescent="0.45">
      <c r="A41" s="94" t="s">
        <v>195</v>
      </c>
      <c r="B41" s="110">
        <f>E40+(C40*F34)+(G40*F35)</f>
        <v>24.437825609404126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40.833333333333336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 codeName="Sheet68"/>
  <dimension ref="A1:R51"/>
  <sheetViews>
    <sheetView view="pageLayout" topLeftCell="A37" zoomScaleNormal="100" workbookViewId="0">
      <selection activeCell="B12" sqref="B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84*10^6</f>
        <v>84000000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51*10^6</f>
        <v>51000000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43*10^6</f>
        <v>43000000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200</v>
      </c>
      <c r="C8" s="98" t="s">
        <v>36</v>
      </c>
      <c r="E8" s="96" t="s">
        <v>132</v>
      </c>
      <c r="F8" s="95">
        <f>2*10^6</f>
        <v>2000000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50*10^3</f>
        <v>50000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9800</v>
      </c>
      <c r="C10" s="98" t="s">
        <v>36</v>
      </c>
      <c r="E10" s="96" t="s">
        <v>139</v>
      </c>
      <c r="F10" s="99">
        <f>F7+F8</f>
        <v>45000000</v>
      </c>
      <c r="G10" s="97" t="s">
        <v>123</v>
      </c>
      <c r="J10" s="85" t="s">
        <v>140</v>
      </c>
      <c r="K10" s="85">
        <f>B8*B12</f>
        <v>128400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1.1322353885023113</v>
      </c>
      <c r="C15" s="110">
        <f>$F$6/($F$11*B8*B12^2)</f>
        <v>0.68742862873354615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2.9706511864316257E-3</v>
      </c>
      <c r="C16" s="114">
        <f>0.85*$B$5/$B$6*(1-SQRT(1-(2*C15/(0.85*$B$5))))</f>
        <v>1.7870590027684195E-3</v>
      </c>
      <c r="E16" s="96" t="s">
        <v>151</v>
      </c>
      <c r="F16" s="110">
        <f>B22*$B$6/(0.85*$B$5*$B$8)</f>
        <v>48.047887643138019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3.5897435897435893E-3</v>
      </c>
      <c r="C18" s="114">
        <f>MAX(C16:C17)</f>
        <v>3.5897435897435893E-3</v>
      </c>
      <c r="E18" s="96" t="s">
        <v>155</v>
      </c>
      <c r="F18" s="115">
        <f>0.003*($B$12-F17)/F17</f>
        <v>3.1072257497750857E-2</v>
      </c>
      <c r="G18" s="116">
        <f>0.003*($B$12-G17)/G17</f>
        <v>3.1072257497750857E-2</v>
      </c>
    </row>
    <row r="19" spans="1:18" ht="18" customHeight="1" x14ac:dyDescent="0.45">
      <c r="A19" s="94" t="s">
        <v>156</v>
      </c>
      <c r="B19" s="110">
        <f>$K$10*B18</f>
        <v>460.92307692307685</v>
      </c>
      <c r="C19" s="117">
        <f>$K$10*C18</f>
        <v>460.92307692307685</v>
      </c>
      <c r="E19" s="96" t="s">
        <v>157</v>
      </c>
      <c r="F19" s="118">
        <f>B22*$B$6*($B$12-F16/2)</f>
        <v>151431464.97839507</v>
      </c>
      <c r="G19" s="119">
        <f>C22*$B$6*($B$12-G16/2)</f>
        <v>151431464.97839507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136288318.48055556</v>
      </c>
      <c r="G20" s="119">
        <f>$F$11*G19</f>
        <v>136288318.48055556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2</v>
      </c>
      <c r="C21" s="95">
        <v>2</v>
      </c>
      <c r="E21" s="96" t="s">
        <v>76</v>
      </c>
      <c r="F21" s="120">
        <f>F20/F5</f>
        <v>1.6224799819113758</v>
      </c>
      <c r="G21" s="121">
        <f>G20/F6</f>
        <v>2.672319970206972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628.31853071795865</v>
      </c>
      <c r="C22" s="123">
        <f>C20^2*PI()/4*C21</f>
        <v>628.31853071795865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89667.65988917074</v>
      </c>
      <c r="C24" s="85" t="s">
        <v>136</v>
      </c>
      <c r="E24" s="96" t="s">
        <v>169</v>
      </c>
      <c r="F24" s="99">
        <f>F9</f>
        <v>50000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44833.82994458537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320.5335113227847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320.5335113227847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4410154799.999999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42789588.141451545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154.29574866606606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1405975952.4942162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0.99510670096398945</v>
      </c>
      <c r="D38" s="118">
        <f>$B$34/F10</f>
        <v>0.95087973647670099</v>
      </c>
      <c r="E38" s="118">
        <f>B34/F8</f>
        <v>21.394794070725773</v>
      </c>
      <c r="F38" s="118">
        <f>B34/(F7+0.5*F8)</f>
        <v>0.97249063957844417</v>
      </c>
      <c r="G38" s="119">
        <f>MAX($B$34,($F$7+0.5*$F$8))</f>
        <v>44000000</v>
      </c>
    </row>
    <row r="39" spans="1:7" ht="18" customHeight="1" x14ac:dyDescent="0.45">
      <c r="A39" s="189" t="s">
        <v>193</v>
      </c>
      <c r="B39" s="190"/>
      <c r="C39" s="118">
        <f>C38^3*$B$32+(1-C38^3)*$B$36</f>
        <v>4366269211.1926813</v>
      </c>
      <c r="D39" s="118">
        <f>D38^3*$B$32+(1-D38^3)*$B$36</f>
        <v>3988846033.3648753</v>
      </c>
      <c r="E39" s="118">
        <f>$B$32*($B$34/E38)^3+(1-($B$34/E38)^3)*$B$36</f>
        <v>2.4033430780046261E+28</v>
      </c>
      <c r="F39" s="118">
        <f>$B$32*($B$34/F38)^3+(1-($B$34/F38)^3)*$B$36</f>
        <v>2.5590797094593262E+32</v>
      </c>
      <c r="G39" s="119">
        <f>$B$32*($B$34/G38)^3+(1-($B$34/G38)^3)*$B$36</f>
        <v>4168983514.0003533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3.8271931364311031</v>
      </c>
      <c r="D40" s="110">
        <f>(5/48)*$F$10*$B$10^2/($F$31*$C$39)</f>
        <v>4.0052021195209218</v>
      </c>
      <c r="E40" s="110">
        <f>D40-C40</f>
        <v>0.17800898308981861</v>
      </c>
      <c r="F40" s="110">
        <f>(5/48)*(F7+0.5*F8)*$B$10^2/($F$31*$C$39)</f>
        <v>3.9161976279760129</v>
      </c>
      <c r="G40" s="112">
        <f>F40-C40</f>
        <v>8.9004491544909747E-2</v>
      </c>
    </row>
    <row r="41" spans="1:7" ht="18" customHeight="1" x14ac:dyDescent="0.45">
      <c r="A41" s="94" t="s">
        <v>195</v>
      </c>
      <c r="B41" s="110">
        <f>E40+(C40*F34)+(G40*F35)</f>
        <v>7.9926033407328623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40.833333333333336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sheetPr codeName="Sheet39"/>
  <dimension ref="A1:Q130"/>
  <sheetViews>
    <sheetView zoomScale="85" zoomScaleNormal="85" workbookViewId="0">
      <selection activeCell="B12" sqref="B12"/>
    </sheetView>
  </sheetViews>
  <sheetFormatPr defaultColWidth="9.1328125" defaultRowHeight="14.25" x14ac:dyDescent="0.45"/>
  <cols>
    <col min="1" max="2" width="10" style="4" customWidth="1"/>
    <col min="3" max="3" width="10.86328125" style="4" customWidth="1"/>
    <col min="4" max="4" width="11.265625" style="4" customWidth="1"/>
    <col min="5" max="5" width="11.3984375" style="4" customWidth="1"/>
    <col min="6" max="6" width="12.73046875" style="4" customWidth="1"/>
    <col min="7" max="8" width="13.73046875" style="4" customWidth="1"/>
    <col min="9" max="12" width="15.73046875" style="3" customWidth="1"/>
    <col min="13" max="13" width="13.73046875" style="4" bestFit="1" customWidth="1"/>
    <col min="14" max="14" width="12.59765625" style="4" bestFit="1" customWidth="1"/>
    <col min="15" max="15" width="12.3984375" style="4" customWidth="1"/>
    <col min="16" max="16" width="13.73046875" style="4" customWidth="1"/>
    <col min="17" max="16384" width="9.1328125" style="4"/>
  </cols>
  <sheetData>
    <row r="1" spans="1:17" ht="19.5" customHeight="1" thickBot="1" x14ac:dyDescent="0.5">
      <c r="A1" s="144" t="s">
        <v>217</v>
      </c>
      <c r="B1" s="144"/>
      <c r="C1" s="144"/>
      <c r="D1" s="144"/>
      <c r="E1" s="144"/>
      <c r="F1" s="144"/>
      <c r="G1" s="144"/>
      <c r="H1" s="1"/>
      <c r="I1" s="2"/>
      <c r="J1" s="2"/>
    </row>
    <row r="2" spans="1:17" ht="15.75" x14ac:dyDescent="0.5">
      <c r="A2" s="145"/>
      <c r="B2" s="146"/>
      <c r="C2" s="147"/>
      <c r="D2" s="5"/>
      <c r="E2" s="6"/>
      <c r="F2" s="148"/>
      <c r="G2" s="149"/>
      <c r="I2" s="7"/>
      <c r="J2" s="7" t="str">
        <f>IF(K3&lt;2, "Two Way Slab", "One way Slab")</f>
        <v>Two Way Slab</v>
      </c>
      <c r="K2" s="7"/>
      <c r="L2" s="7"/>
      <c r="N2" s="4" t="s">
        <v>0</v>
      </c>
    </row>
    <row r="3" spans="1:17" ht="14.25" customHeight="1" x14ac:dyDescent="0.45">
      <c r="A3" s="8"/>
      <c r="B3" s="9" t="s">
        <v>1</v>
      </c>
      <c r="F3" s="9" t="s">
        <v>2</v>
      </c>
      <c r="G3" s="10"/>
      <c r="I3" s="7"/>
      <c r="J3" s="7" t="s">
        <v>3</v>
      </c>
      <c r="K3" s="7">
        <f>F5/F4</f>
        <v>1.4000000000000001</v>
      </c>
      <c r="L3" s="7"/>
    </row>
    <row r="4" spans="1:17" ht="14.25" customHeight="1" x14ac:dyDescent="0.45">
      <c r="A4" s="11" t="s">
        <v>4</v>
      </c>
      <c r="B4" s="12">
        <v>390</v>
      </c>
      <c r="C4" s="13" t="s">
        <v>5</v>
      </c>
      <c r="E4" s="14" t="s">
        <v>6</v>
      </c>
      <c r="F4" s="15">
        <v>7</v>
      </c>
      <c r="G4" s="10" t="s">
        <v>7</v>
      </c>
      <c r="I4" s="7"/>
      <c r="J4" s="7" t="s">
        <v>8</v>
      </c>
      <c r="K4" s="7"/>
      <c r="L4" s="7"/>
    </row>
    <row r="5" spans="1:17" ht="14.25" customHeight="1" x14ac:dyDescent="0.45">
      <c r="A5" s="11" t="s">
        <v>9</v>
      </c>
      <c r="B5" s="12">
        <v>200000</v>
      </c>
      <c r="C5" s="13" t="s">
        <v>5</v>
      </c>
      <c r="E5" s="14" t="s">
        <v>10</v>
      </c>
      <c r="F5" s="15">
        <v>9.8000000000000007</v>
      </c>
      <c r="G5" s="10" t="s">
        <v>7</v>
      </c>
      <c r="I5" s="7" t="s">
        <v>11</v>
      </c>
      <c r="J5" s="7" t="s">
        <v>12</v>
      </c>
      <c r="K5" s="16">
        <v>0.2</v>
      </c>
      <c r="L5" s="17" t="s">
        <v>7</v>
      </c>
    </row>
    <row r="6" spans="1:17" ht="14.25" customHeight="1" x14ac:dyDescent="0.45">
      <c r="A6" s="11" t="s">
        <v>13</v>
      </c>
      <c r="B6" s="12">
        <v>30</v>
      </c>
      <c r="C6" s="13" t="s">
        <v>5</v>
      </c>
      <c r="E6" s="14" t="s">
        <v>14</v>
      </c>
      <c r="F6" s="18">
        <f>K14/180</f>
        <v>0.18666666666666668</v>
      </c>
      <c r="G6" s="10" t="s">
        <v>7</v>
      </c>
      <c r="I6" s="7"/>
      <c r="J6" s="7" t="s">
        <v>15</v>
      </c>
      <c r="K6" s="16">
        <v>0.4</v>
      </c>
      <c r="L6" s="17" t="s">
        <v>7</v>
      </c>
    </row>
    <row r="7" spans="1:17" ht="17.25" customHeight="1" x14ac:dyDescent="0.45">
      <c r="A7" s="11" t="s">
        <v>16</v>
      </c>
      <c r="B7" s="12">
        <v>25</v>
      </c>
      <c r="C7" s="13" t="s">
        <v>17</v>
      </c>
      <c r="E7" s="14" t="s">
        <v>18</v>
      </c>
      <c r="F7" s="19">
        <v>0.2</v>
      </c>
      <c r="G7" s="10" t="s">
        <v>7</v>
      </c>
      <c r="I7" s="7" t="s">
        <v>19</v>
      </c>
      <c r="J7" s="7" t="s">
        <v>20</v>
      </c>
      <c r="K7" s="16">
        <v>0.2</v>
      </c>
      <c r="L7" s="17" t="s">
        <v>7</v>
      </c>
    </row>
    <row r="8" spans="1:17" ht="16.5" customHeight="1" x14ac:dyDescent="0.45">
      <c r="A8" s="8"/>
      <c r="B8" s="14"/>
      <c r="C8" s="13"/>
      <c r="D8" s="13"/>
      <c r="E8" s="14" t="s">
        <v>21</v>
      </c>
      <c r="F8" s="15">
        <v>1</v>
      </c>
      <c r="G8" s="10" t="s">
        <v>7</v>
      </c>
      <c r="I8" s="7"/>
      <c r="J8" s="7" t="s">
        <v>22</v>
      </c>
      <c r="K8" s="16">
        <v>0.4</v>
      </c>
      <c r="L8" s="17" t="s">
        <v>7</v>
      </c>
      <c r="N8" s="4" t="s">
        <v>23</v>
      </c>
    </row>
    <row r="9" spans="1:17" ht="16.5" customHeight="1" x14ac:dyDescent="0.45">
      <c r="A9" s="8"/>
      <c r="B9" s="14"/>
      <c r="C9" s="13"/>
      <c r="D9" s="13"/>
      <c r="E9" s="14" t="s">
        <v>24</v>
      </c>
      <c r="F9" s="15">
        <v>2.5000000000000001E-2</v>
      </c>
      <c r="G9" s="10" t="s">
        <v>7</v>
      </c>
      <c r="I9" s="7"/>
      <c r="J9" s="7" t="s">
        <v>25</v>
      </c>
      <c r="K9" s="20">
        <f>F4</f>
        <v>7</v>
      </c>
      <c r="L9" s="17" t="s">
        <v>7</v>
      </c>
      <c r="O9" s="3"/>
      <c r="P9" s="3"/>
      <c r="Q9" s="3"/>
    </row>
    <row r="10" spans="1:17" ht="14.25" customHeight="1" x14ac:dyDescent="0.45">
      <c r="A10" s="150" t="s">
        <v>26</v>
      </c>
      <c r="B10" s="151"/>
      <c r="C10" s="151"/>
      <c r="D10" s="15" t="s">
        <v>27</v>
      </c>
      <c r="E10" s="9"/>
      <c r="F10" s="15" t="s">
        <v>28</v>
      </c>
      <c r="G10" s="10"/>
      <c r="I10" s="7"/>
      <c r="J10" s="7" t="s">
        <v>29</v>
      </c>
      <c r="K10" s="20">
        <f>F5</f>
        <v>9.8000000000000007</v>
      </c>
      <c r="L10" s="17" t="s">
        <v>7</v>
      </c>
      <c r="O10" s="3"/>
      <c r="P10" s="3"/>
      <c r="Q10" s="3"/>
    </row>
    <row r="11" spans="1:17" ht="15" customHeight="1" x14ac:dyDescent="0.45">
      <c r="A11" s="152" t="s">
        <v>30</v>
      </c>
      <c r="B11" s="3">
        <f>40+0</f>
        <v>40</v>
      </c>
      <c r="C11" s="15"/>
      <c r="D11" s="153">
        <f>C11+C12</f>
        <v>0</v>
      </c>
      <c r="E11" s="154" t="s">
        <v>31</v>
      </c>
      <c r="F11" s="155"/>
      <c r="G11" s="10"/>
      <c r="I11" s="7"/>
      <c r="J11" s="7" t="s">
        <v>32</v>
      </c>
      <c r="K11" s="21">
        <f>F7</f>
        <v>0.2</v>
      </c>
      <c r="L11" s="17" t="s">
        <v>7</v>
      </c>
      <c r="O11" s="3"/>
      <c r="P11" s="3"/>
      <c r="Q11" s="3"/>
    </row>
    <row r="12" spans="1:17" ht="15" customHeight="1" x14ac:dyDescent="0.45">
      <c r="A12" s="152"/>
      <c r="B12" s="3">
        <f>B9-B11-$B$27-(B20/2)</f>
        <v>-40</v>
      </c>
      <c r="C12" s="3"/>
      <c r="D12" s="153"/>
      <c r="E12" s="154"/>
      <c r="F12" s="155"/>
      <c r="G12" s="10"/>
      <c r="I12" s="7"/>
      <c r="J12" s="7" t="s">
        <v>33</v>
      </c>
      <c r="K12" s="20">
        <f>F9</f>
        <v>2.5000000000000001E-2</v>
      </c>
      <c r="L12" s="17" t="s">
        <v>7</v>
      </c>
      <c r="O12" s="3"/>
      <c r="P12" s="3"/>
      <c r="Q12" s="3"/>
    </row>
    <row r="13" spans="1:17" ht="20.25" customHeight="1" x14ac:dyDescent="0.45">
      <c r="A13" s="11" t="s">
        <v>34</v>
      </c>
      <c r="D13" s="15">
        <v>1.92</v>
      </c>
      <c r="E13" s="13" t="s">
        <v>31</v>
      </c>
      <c r="F13" s="15"/>
      <c r="G13" s="10"/>
      <c r="I13" s="7"/>
      <c r="J13" s="7" t="s">
        <v>35</v>
      </c>
      <c r="K13" s="16">
        <v>10</v>
      </c>
      <c r="L13" s="17" t="s">
        <v>36</v>
      </c>
      <c r="O13" s="3"/>
      <c r="P13" s="3"/>
      <c r="Q13" s="3"/>
    </row>
    <row r="14" spans="1:17" ht="15" customHeight="1" x14ac:dyDescent="0.45">
      <c r="A14" s="11" t="s">
        <v>37</v>
      </c>
      <c r="B14" s="3"/>
      <c r="C14" s="13" t="s">
        <v>31</v>
      </c>
      <c r="G14" s="10"/>
      <c r="I14" s="7"/>
      <c r="J14" s="7" t="s">
        <v>38</v>
      </c>
      <c r="K14" s="7">
        <f>(F4+F5)*2</f>
        <v>33.6</v>
      </c>
      <c r="L14" s="7"/>
      <c r="N14" s="4" t="s">
        <v>39</v>
      </c>
      <c r="P14" s="3"/>
      <c r="Q14" s="3"/>
    </row>
    <row r="15" spans="1:17" ht="15" customHeight="1" x14ac:dyDescent="0.45">
      <c r="A15" s="11"/>
      <c r="B15" s="3"/>
      <c r="C15" s="13"/>
      <c r="D15" s="153"/>
      <c r="E15" s="153"/>
      <c r="F15" s="153"/>
      <c r="G15" s="158"/>
      <c r="I15" s="7"/>
      <c r="J15" s="7" t="s">
        <v>40</v>
      </c>
      <c r="K15" s="22">
        <f>$K$9/30</f>
        <v>0.23333333333333334</v>
      </c>
      <c r="L15" s="7"/>
      <c r="Q15" s="3"/>
    </row>
    <row r="16" spans="1:17" ht="15" customHeight="1" x14ac:dyDescent="0.45">
      <c r="A16" s="11"/>
      <c r="B16" s="3"/>
      <c r="C16" s="13"/>
      <c r="D16" s="153"/>
      <c r="E16" s="153"/>
      <c r="F16" s="153"/>
      <c r="G16" s="158"/>
      <c r="I16" s="7"/>
      <c r="J16" s="7"/>
      <c r="K16" s="22">
        <f>$K$9/50</f>
        <v>0.14000000000000001</v>
      </c>
      <c r="L16" s="7"/>
      <c r="Q16" s="3"/>
    </row>
    <row r="17" spans="1:17" ht="15" customHeight="1" x14ac:dyDescent="0.45">
      <c r="A17" s="11"/>
      <c r="B17" s="3"/>
      <c r="C17" s="13"/>
      <c r="D17" s="153"/>
      <c r="E17" s="153"/>
      <c r="F17" s="153"/>
      <c r="G17" s="158"/>
      <c r="I17" s="7"/>
      <c r="J17" s="7" t="s">
        <v>41</v>
      </c>
      <c r="K17" s="7">
        <f>B22*B14*F4^2</f>
        <v>0</v>
      </c>
      <c r="L17" s="7"/>
    </row>
    <row r="18" spans="1:17" ht="15" customHeight="1" x14ac:dyDescent="0.45">
      <c r="A18" s="8"/>
      <c r="D18" s="153"/>
      <c r="E18" s="153"/>
      <c r="F18" s="153"/>
      <c r="G18" s="158"/>
      <c r="I18" s="7"/>
      <c r="J18" s="7" t="s">
        <v>42</v>
      </c>
      <c r="K18" s="7">
        <f>B23*B14*F5^2</f>
        <v>0</v>
      </c>
      <c r="L18" s="7"/>
    </row>
    <row r="19" spans="1:17" ht="14.25" customHeight="1" x14ac:dyDescent="0.45">
      <c r="A19" s="23" t="s">
        <v>43</v>
      </c>
      <c r="D19" s="153"/>
      <c r="E19" s="153"/>
      <c r="F19" s="153"/>
      <c r="G19" s="158"/>
      <c r="I19" s="7"/>
      <c r="J19" s="7" t="s">
        <v>44</v>
      </c>
      <c r="K19" s="7">
        <f>$F$11*E22*$D$11*F4^2+$F$13*$D$13*G22*F4^2</f>
        <v>0</v>
      </c>
      <c r="L19" s="7"/>
    </row>
    <row r="20" spans="1:17" ht="14.25" customHeight="1" x14ac:dyDescent="0.45">
      <c r="A20" s="159" t="s">
        <v>45</v>
      </c>
      <c r="B20" s="153"/>
      <c r="C20" s="24"/>
      <c r="D20" s="153"/>
      <c r="E20" s="153"/>
      <c r="F20" s="153"/>
      <c r="G20" s="158"/>
      <c r="I20" s="7"/>
      <c r="J20" s="7" t="s">
        <v>46</v>
      </c>
      <c r="K20" s="7">
        <f>$F$11*E23*$D$11*F5^2+$F$13*$D$13*G23*F5^2</f>
        <v>0</v>
      </c>
      <c r="L20" s="7"/>
    </row>
    <row r="21" spans="1:17" ht="16.5" customHeight="1" x14ac:dyDescent="0.45">
      <c r="A21" s="159" t="s">
        <v>47</v>
      </c>
      <c r="B21" s="153"/>
      <c r="C21" s="15"/>
      <c r="D21" s="3"/>
      <c r="G21" s="10"/>
      <c r="I21" s="7"/>
      <c r="J21" s="17" t="s">
        <v>48</v>
      </c>
      <c r="K21" s="7"/>
      <c r="L21" s="7"/>
    </row>
    <row r="22" spans="1:17" ht="16.5" customHeight="1" x14ac:dyDescent="0.45">
      <c r="A22" s="25" t="s">
        <v>49</v>
      </c>
      <c r="B22" s="160"/>
      <c r="C22" s="160"/>
      <c r="D22" s="3" t="s">
        <v>50</v>
      </c>
      <c r="E22" s="18"/>
      <c r="F22" s="3" t="s">
        <v>51</v>
      </c>
      <c r="G22" s="26"/>
      <c r="I22" s="7"/>
      <c r="J22" s="7" t="s">
        <v>52</v>
      </c>
      <c r="K22" s="7">
        <f>F4/F5</f>
        <v>0.71428571428571419</v>
      </c>
      <c r="L22" s="7"/>
    </row>
    <row r="23" spans="1:17" ht="18.75" customHeight="1" x14ac:dyDescent="0.45">
      <c r="A23" s="25" t="s">
        <v>53</v>
      </c>
      <c r="B23" s="160"/>
      <c r="C23" s="160"/>
      <c r="D23" s="3" t="s">
        <v>54</v>
      </c>
      <c r="E23" s="18"/>
      <c r="F23" s="3" t="s">
        <v>55</v>
      </c>
      <c r="G23" s="26"/>
      <c r="H23" s="27"/>
      <c r="I23" s="7"/>
      <c r="J23" s="7" t="s">
        <v>56</v>
      </c>
      <c r="K23" s="7">
        <f>$B$14/(1+K22^4)</f>
        <v>0</v>
      </c>
      <c r="L23" s="7" t="s">
        <v>31</v>
      </c>
    </row>
    <row r="24" spans="1:17" ht="18.75" customHeight="1" x14ac:dyDescent="0.45">
      <c r="A24" s="161" t="s">
        <v>57</v>
      </c>
      <c r="B24" s="162"/>
      <c r="C24" s="162"/>
      <c r="D24" s="3" t="s">
        <v>58</v>
      </c>
      <c r="E24" s="3" t="s">
        <v>59</v>
      </c>
      <c r="F24" s="3" t="s">
        <v>60</v>
      </c>
      <c r="G24" s="28" t="s">
        <v>61</v>
      </c>
      <c r="H24" s="29"/>
      <c r="I24" s="7"/>
      <c r="J24" s="7" t="s">
        <v>62</v>
      </c>
      <c r="K24" s="7">
        <f>$B$14*(K22^4/(1+K22^4))</f>
        <v>0</v>
      </c>
      <c r="L24" s="7" t="s">
        <v>31</v>
      </c>
    </row>
    <row r="25" spans="1:17" ht="18" customHeight="1" x14ac:dyDescent="0.45">
      <c r="A25" s="161"/>
      <c r="B25" s="162"/>
      <c r="C25" s="162"/>
      <c r="D25" s="24">
        <v>32</v>
      </c>
      <c r="E25" s="24">
        <v>45</v>
      </c>
      <c r="F25" s="24">
        <v>27</v>
      </c>
      <c r="G25" s="30">
        <v>44</v>
      </c>
      <c r="H25" s="29"/>
      <c r="I25" s="7"/>
      <c r="J25" s="7"/>
      <c r="K25" s="7">
        <f>B49*D39/1000</f>
        <v>5.8577741714506984E-2</v>
      </c>
      <c r="L25" s="7"/>
    </row>
    <row r="26" spans="1:17" ht="14.25" customHeight="1" x14ac:dyDescent="0.45">
      <c r="A26" s="159" t="s">
        <v>63</v>
      </c>
      <c r="B26" s="153"/>
      <c r="C26" s="153"/>
      <c r="D26" s="31">
        <f>$F$7-$K$12-($K$13/2/1000)</f>
        <v>0.17</v>
      </c>
      <c r="E26" s="31">
        <f>$F$7-$K$12-($K$13/2/1000)</f>
        <v>0.17</v>
      </c>
      <c r="F26" s="31">
        <f>$F$7-$K$12-($K$13/2/1000)-(K13/1000)</f>
        <v>0.16</v>
      </c>
      <c r="G26" s="32">
        <f>$F$7-$K$12-($K$13/2/1000)-(K13/1000)</f>
        <v>0.16</v>
      </c>
      <c r="H26" s="29"/>
    </row>
    <row r="27" spans="1:17" ht="18" customHeight="1" x14ac:dyDescent="0.45">
      <c r="A27" s="159" t="s">
        <v>64</v>
      </c>
      <c r="B27" s="153"/>
      <c r="C27" s="153"/>
      <c r="D27" s="27">
        <f>F8*D25</f>
        <v>32</v>
      </c>
      <c r="E27" s="27">
        <f>$F$8*E25</f>
        <v>45</v>
      </c>
      <c r="F27" s="27">
        <f>F25*$F$8</f>
        <v>27</v>
      </c>
      <c r="G27" s="33">
        <f>F8*$G$25</f>
        <v>44</v>
      </c>
      <c r="H27" s="29"/>
      <c r="I27" s="7"/>
      <c r="J27" s="34">
        <f>C20</f>
        <v>0</v>
      </c>
      <c r="K27" s="7">
        <v>0.9</v>
      </c>
      <c r="L27" s="7">
        <v>0.85</v>
      </c>
      <c r="N27" s="4">
        <f>2500*3+1500</f>
        <v>9000</v>
      </c>
    </row>
    <row r="28" spans="1:17" ht="12" customHeight="1" x14ac:dyDescent="0.45">
      <c r="A28" s="159" t="s">
        <v>65</v>
      </c>
      <c r="B28" s="153"/>
      <c r="C28" s="153"/>
      <c r="D28" s="27">
        <f>D27/0.9</f>
        <v>35.555555555555557</v>
      </c>
      <c r="E28" s="27">
        <f>E27/0.9</f>
        <v>50</v>
      </c>
      <c r="F28" s="27">
        <f>F27/0.9</f>
        <v>30</v>
      </c>
      <c r="G28" s="33">
        <f>G27/0.9</f>
        <v>48.888888888888886</v>
      </c>
      <c r="H28" s="29"/>
      <c r="I28" s="7" t="str">
        <f>A22</f>
        <v>Caneg=</v>
      </c>
      <c r="J28" s="7">
        <f>L28+(K28-L28)/(K27-L27)*(K27-J27)</f>
        <v>-2.9999999999999888E-2</v>
      </c>
      <c r="K28" s="35">
        <v>5.5E-2</v>
      </c>
      <c r="L28" s="35">
        <v>0.06</v>
      </c>
    </row>
    <row r="29" spans="1:17" x14ac:dyDescent="0.45">
      <c r="A29" s="159" t="s">
        <v>66</v>
      </c>
      <c r="B29" s="153"/>
      <c r="C29" s="153"/>
      <c r="D29" s="27">
        <f>D28/(F8*D26^2)/1000</f>
        <v>1.230296039984621</v>
      </c>
      <c r="E29" s="27">
        <f>E28/($F$8*E26^2)/1000</f>
        <v>1.7301038062283733</v>
      </c>
      <c r="F29" s="27">
        <f>F28/($F$8*F26^2)/1000</f>
        <v>1.171875</v>
      </c>
      <c r="G29" s="33">
        <f>G28/($F$8*G26^2)/1000</f>
        <v>1.9097222222222219</v>
      </c>
      <c r="H29" s="29"/>
      <c r="I29" s="7" t="str">
        <f>A23</f>
        <v>Cbneg=</v>
      </c>
      <c r="J29" s="7">
        <f>L29+(K29-L29)/(K27-L27)*(K27-J27)</f>
        <v>0.13899999999999987</v>
      </c>
      <c r="K29" s="35">
        <v>3.6999999999999998E-2</v>
      </c>
      <c r="L29" s="35">
        <v>3.1E-2</v>
      </c>
    </row>
    <row r="30" spans="1:17" x14ac:dyDescent="0.45">
      <c r="A30" s="156" t="s">
        <v>67</v>
      </c>
      <c r="B30" s="157"/>
      <c r="C30" s="157"/>
      <c r="D30" s="36">
        <f>(0.85*$B$6/$B$4)*(1-SQRT(1-(2*D29/(0.85*$B$6))))</f>
        <v>3.2346143420493769E-3</v>
      </c>
      <c r="E30" s="36">
        <f>(0.85*$B$6/$B$4)*(1-SQRT(1-(2*E29/(0.85*$B$6))))</f>
        <v>4.5978221914518289E-3</v>
      </c>
      <c r="F30" s="36">
        <f>(0.85*$B$6/$B$4)*(1-SQRT(1-(2*F29/(0.85*$B$6))))</f>
        <v>3.0772198487599464E-3</v>
      </c>
      <c r="G30" s="37">
        <f>(0.85*$B$6/$B$4)*(1-SQRT(1-(2*G29/(0.85*$B$6))))</f>
        <v>5.0952535997819915E-3</v>
      </c>
      <c r="H30" s="29"/>
    </row>
    <row r="31" spans="1:17" x14ac:dyDescent="0.45">
      <c r="A31" s="156" t="s">
        <v>68</v>
      </c>
      <c r="B31" s="157"/>
      <c r="C31" s="157"/>
      <c r="D31" s="31">
        <f>0.85</f>
        <v>0.85</v>
      </c>
      <c r="E31" s="31">
        <f>0.85</f>
        <v>0.85</v>
      </c>
      <c r="F31" s="31">
        <f>0.85</f>
        <v>0.85</v>
      </c>
      <c r="G31" s="32">
        <f>0.85</f>
        <v>0.85</v>
      </c>
      <c r="H31" s="29"/>
      <c r="I31" s="7"/>
      <c r="J31" s="34">
        <f>C20</f>
        <v>0</v>
      </c>
      <c r="K31" s="7">
        <v>0.9</v>
      </c>
      <c r="L31" s="7">
        <v>0.85</v>
      </c>
    </row>
    <row r="32" spans="1:17" ht="15.75" x14ac:dyDescent="0.45">
      <c r="A32" s="159" t="s">
        <v>69</v>
      </c>
      <c r="B32" s="153"/>
      <c r="C32" s="153"/>
      <c r="D32" s="27">
        <f>D30*F8*D26*10^4</f>
        <v>5.4988443814839414</v>
      </c>
      <c r="E32" s="27">
        <f>E30*F8*E26*10^4</f>
        <v>7.8162977254681101</v>
      </c>
      <c r="F32" s="27">
        <f>F30*$F$8*F26*10^4</f>
        <v>4.9235517580159147</v>
      </c>
      <c r="G32" s="33">
        <f>G30*$F$8*G26*10^4</f>
        <v>8.1524057596511863</v>
      </c>
      <c r="H32" s="29"/>
      <c r="I32" s="7" t="str">
        <f>D22</f>
        <v>CaposDL=</v>
      </c>
      <c r="J32" s="7">
        <f>L32+(K32-L32)/(K31-L31)*(K31-J31)</f>
        <v>-1.2000000000000004E-2</v>
      </c>
      <c r="K32" s="35">
        <v>2.1999999999999999E-2</v>
      </c>
      <c r="L32" s="35">
        <v>2.4E-2</v>
      </c>
      <c r="N32" s="24">
        <v>35</v>
      </c>
      <c r="O32" s="24">
        <v>49</v>
      </c>
      <c r="P32" s="24">
        <v>32</v>
      </c>
      <c r="Q32" s="24">
        <v>51</v>
      </c>
    </row>
    <row r="33" spans="1:12" ht="15.75" x14ac:dyDescent="0.45">
      <c r="A33" s="159" t="s">
        <v>70</v>
      </c>
      <c r="B33" s="153"/>
      <c r="C33" s="153"/>
      <c r="D33" s="27">
        <f>0.0018*$B$4*F7*10^4/413.68</f>
        <v>3.3939276735641073</v>
      </c>
      <c r="E33" s="27">
        <f>0.0018*$B$4*F7*10^4/413.68</f>
        <v>3.3939276735641073</v>
      </c>
      <c r="F33" s="27">
        <f>0.0018*$B$4*F7*10^4/413.68</f>
        <v>3.3939276735641073</v>
      </c>
      <c r="G33" s="33">
        <f>0.0018*$B$4*F7*10^4/413.68</f>
        <v>3.3939276735641073</v>
      </c>
      <c r="I33" s="7" t="str">
        <f>D23</f>
        <v>CbposDL=</v>
      </c>
      <c r="J33" s="7">
        <f>L33+(K33-L33)/(K31-L31)*(K31-J31)</f>
        <v>4.7999999999999973E-2</v>
      </c>
      <c r="K33" s="35">
        <v>1.4E-2</v>
      </c>
      <c r="L33" s="35">
        <v>1.2E-2</v>
      </c>
    </row>
    <row r="34" spans="1:12" ht="15.75" x14ac:dyDescent="0.45">
      <c r="A34" s="159" t="s">
        <v>71</v>
      </c>
      <c r="B34" s="153"/>
      <c r="C34" s="153"/>
      <c r="D34" s="38">
        <f>MAX(D32:D33)</f>
        <v>5.4988443814839414</v>
      </c>
      <c r="E34" s="38">
        <f>MAX(E32:E33)</f>
        <v>7.8162977254681101</v>
      </c>
      <c r="F34" s="38">
        <f>MAX(F32:F33)</f>
        <v>4.9235517580159147</v>
      </c>
      <c r="G34" s="39">
        <f>MAX(G32:G33)</f>
        <v>8.1524057596511863</v>
      </c>
      <c r="I34" s="27"/>
    </row>
    <row r="35" spans="1:12" x14ac:dyDescent="0.45">
      <c r="A35" s="163" t="s">
        <v>35</v>
      </c>
      <c r="B35" s="155"/>
      <c r="C35" s="155"/>
      <c r="D35" s="40">
        <v>12</v>
      </c>
      <c r="E35" s="40">
        <v>12</v>
      </c>
      <c r="F35" s="40">
        <v>12</v>
      </c>
      <c r="G35" s="41">
        <v>12</v>
      </c>
      <c r="I35" s="7"/>
      <c r="J35" s="34">
        <f>C20</f>
        <v>0</v>
      </c>
      <c r="K35" s="7">
        <v>0.9</v>
      </c>
      <c r="L35" s="7">
        <v>0.85</v>
      </c>
    </row>
    <row r="36" spans="1:12" x14ac:dyDescent="0.45">
      <c r="A36" s="159" t="s">
        <v>72</v>
      </c>
      <c r="B36" s="153"/>
      <c r="C36" s="153"/>
      <c r="D36" s="27">
        <f>(D35^2*PI()/4)*F8*1000/D34/100</f>
        <v>205.67473396785169</v>
      </c>
      <c r="E36" s="27">
        <f>(E35^2*PI()/4)*$F$8*1000/E34/100</f>
        <v>144.69425231938601</v>
      </c>
      <c r="F36" s="27">
        <f>(F35^2*PI()/4)*$F$8*1000/F34/100</f>
        <v>229.70680737762439</v>
      </c>
      <c r="G36" s="33">
        <f>(G35^2*PI()/4)*$F$8*1000/G34/100</f>
        <v>138.72878615658061</v>
      </c>
      <c r="I36" s="7" t="str">
        <f>F22</f>
        <v>CaposLL=</v>
      </c>
      <c r="J36" s="7">
        <f>L36+(K36-L36)/(K35-L35)*(K35-J35)</f>
        <v>-1.6999999999999876E-2</v>
      </c>
      <c r="K36" s="35">
        <v>3.4000000000000002E-2</v>
      </c>
      <c r="L36" s="35">
        <v>3.6999999999999998E-2</v>
      </c>
    </row>
    <row r="37" spans="1:12" x14ac:dyDescent="0.45">
      <c r="A37" s="159" t="s">
        <v>73</v>
      </c>
      <c r="B37" s="153"/>
      <c r="C37" s="153"/>
      <c r="D37" s="31">
        <f>MIN(2*$F$7*1000,450)</f>
        <v>400</v>
      </c>
      <c r="E37" s="31">
        <f>MIN(2*$F$7*1000,450)</f>
        <v>400</v>
      </c>
      <c r="F37" s="31">
        <f>MIN(2*$F$7*1000,450)</f>
        <v>400</v>
      </c>
      <c r="G37" s="32">
        <f>MIN(2*$F$7*1000,450)</f>
        <v>400</v>
      </c>
      <c r="I37" s="7" t="str">
        <f>F23</f>
        <v>CbposLL=</v>
      </c>
      <c r="J37" s="7">
        <f>L37+(K37-L37)/(K35-L35)*(K35-J35)</f>
        <v>7.299999999999994E-2</v>
      </c>
      <c r="K37" s="35">
        <v>2.1999999999999999E-2</v>
      </c>
      <c r="L37" s="35">
        <v>1.9E-2</v>
      </c>
    </row>
    <row r="38" spans="1:12" x14ac:dyDescent="0.45">
      <c r="A38" s="163" t="s">
        <v>74</v>
      </c>
      <c r="B38" s="155"/>
      <c r="C38" s="155"/>
      <c r="D38" s="42">
        <v>150</v>
      </c>
      <c r="E38" s="42">
        <v>100</v>
      </c>
      <c r="F38" s="42">
        <v>150</v>
      </c>
      <c r="G38" s="43">
        <v>100</v>
      </c>
    </row>
    <row r="39" spans="1:12" ht="15.75" x14ac:dyDescent="0.45">
      <c r="A39" s="164" t="s">
        <v>75</v>
      </c>
      <c r="B39" s="165"/>
      <c r="C39" s="165"/>
      <c r="D39" s="44">
        <f>F8*(D35^2*PI()/4)/D38*10</f>
        <v>7.5398223686155035</v>
      </c>
      <c r="E39" s="44">
        <f>F8*(E35^2*PI()/4)/E38*10</f>
        <v>11.309733552923255</v>
      </c>
      <c r="F39" s="44">
        <f>$F$8*(F35^2*PI()/4)/F38*10</f>
        <v>7.5398223686155035</v>
      </c>
      <c r="G39" s="45">
        <f>$F$8*(G35^2*PI()/4)/G38*10</f>
        <v>11.309733552923255</v>
      </c>
    </row>
    <row r="40" spans="1:12" ht="15" customHeight="1" thickBot="1" x14ac:dyDescent="0.5">
      <c r="A40" s="166" t="s">
        <v>76</v>
      </c>
      <c r="B40" s="167"/>
      <c r="C40" s="167"/>
      <c r="D40" s="46">
        <f>D39/D34</f>
        <v>1.3711648931190112</v>
      </c>
      <c r="E40" s="46">
        <f>E39/E34</f>
        <v>1.44694252319386</v>
      </c>
      <c r="F40" s="46">
        <f>F39/F34</f>
        <v>1.5313787158508292</v>
      </c>
      <c r="G40" s="47">
        <f>G39/G34</f>
        <v>1.3872878615658062</v>
      </c>
    </row>
    <row r="41" spans="1:12" x14ac:dyDescent="0.45">
      <c r="D41" s="48" t="str">
        <f>IF(D40&gt;1,"OK","NO")</f>
        <v>OK</v>
      </c>
      <c r="E41" s="48" t="str">
        <f t="shared" ref="E41:G41" si="0">IF(E40&gt;1,"OK","NO")</f>
        <v>OK</v>
      </c>
      <c r="F41" s="48" t="str">
        <f t="shared" si="0"/>
        <v>OK</v>
      </c>
      <c r="G41" s="48" t="str">
        <f t="shared" si="0"/>
        <v>OK</v>
      </c>
    </row>
    <row r="42" spans="1:12" ht="14.65" thickBot="1" x14ac:dyDescent="0.5"/>
    <row r="43" spans="1:12" ht="15.75" x14ac:dyDescent="0.45">
      <c r="A43" s="49" t="s">
        <v>77</v>
      </c>
      <c r="B43" s="50"/>
      <c r="C43" s="50"/>
      <c r="D43" s="51"/>
      <c r="E43" s="50"/>
      <c r="F43" s="50"/>
      <c r="G43" s="52"/>
      <c r="H43" s="53"/>
    </row>
    <row r="44" spans="1:12" x14ac:dyDescent="0.45">
      <c r="A44" s="11" t="s">
        <v>78</v>
      </c>
      <c r="B44" s="3">
        <f>4700*SQRT($B$6)</f>
        <v>25742.960202742808</v>
      </c>
      <c r="C44" s="4" t="s">
        <v>5</v>
      </c>
      <c r="D44" s="9"/>
      <c r="E44" s="54" t="s">
        <v>79</v>
      </c>
      <c r="F44" s="54">
        <v>3</v>
      </c>
      <c r="G44" s="55"/>
      <c r="H44" s="3"/>
    </row>
    <row r="45" spans="1:12" ht="15.75" x14ac:dyDescent="0.45">
      <c r="A45" s="11" t="s">
        <v>80</v>
      </c>
      <c r="B45" s="56">
        <f>F8*F7^3/12</f>
        <v>6.6666666666666686E-4</v>
      </c>
      <c r="C45" s="4" t="s">
        <v>81</v>
      </c>
      <c r="D45" s="3"/>
      <c r="E45" s="168" t="s">
        <v>82</v>
      </c>
      <c r="F45" s="169"/>
      <c r="G45" s="170"/>
    </row>
    <row r="46" spans="1:12" x14ac:dyDescent="0.45">
      <c r="A46" s="11" t="s">
        <v>83</v>
      </c>
      <c r="B46" s="3">
        <f>0.63*SQRT($B$6)</f>
        <v>3.4506521122825466</v>
      </c>
      <c r="C46" s="4" t="s">
        <v>5</v>
      </c>
      <c r="D46" s="3"/>
      <c r="E46" s="57" t="s">
        <v>84</v>
      </c>
      <c r="F46" s="58">
        <f>1000*B53*F4^2*$F$8/(16*$B$44*$B$51*1000)</f>
        <v>6.4723911262230516</v>
      </c>
      <c r="G46" s="55" t="s">
        <v>36</v>
      </c>
    </row>
    <row r="47" spans="1:12" x14ac:dyDescent="0.45">
      <c r="A47" s="11" t="s">
        <v>85</v>
      </c>
      <c r="B47" s="3">
        <f>F7/2</f>
        <v>0.1</v>
      </c>
      <c r="C47" s="4" t="s">
        <v>7</v>
      </c>
      <c r="E47" s="59" t="s">
        <v>86</v>
      </c>
      <c r="F47" s="58">
        <f>1000*B54*F5^2*$F$8/(16*$B$44*$B$51*1000)</f>
        <v>11.193429359468103</v>
      </c>
      <c r="G47" s="55" t="s">
        <v>36</v>
      </c>
    </row>
    <row r="48" spans="1:12" x14ac:dyDescent="0.45">
      <c r="A48" s="11" t="s">
        <v>87</v>
      </c>
      <c r="B48" s="24">
        <f>B46*B45*1000/B47</f>
        <v>23.004347415216984</v>
      </c>
      <c r="C48" s="4" t="s">
        <v>88</v>
      </c>
      <c r="D48" s="3"/>
      <c r="E48" s="59" t="s">
        <v>89</v>
      </c>
      <c r="F48" s="58">
        <f>(F46+F47)/2</f>
        <v>8.8329102428455784</v>
      </c>
      <c r="G48" s="55" t="s">
        <v>36</v>
      </c>
    </row>
    <row r="49" spans="1:15" x14ac:dyDescent="0.45">
      <c r="A49" s="11" t="s">
        <v>90</v>
      </c>
      <c r="B49" s="60">
        <f>B5/B44</f>
        <v>7.7691142908534196</v>
      </c>
      <c r="D49" s="3"/>
      <c r="E49" s="61" t="s">
        <v>91</v>
      </c>
      <c r="F49" s="58">
        <f>F48*F44/2</f>
        <v>13.249365364268368</v>
      </c>
      <c r="G49" s="55" t="s">
        <v>36</v>
      </c>
    </row>
    <row r="50" spans="1:15" x14ac:dyDescent="0.45">
      <c r="A50" s="11" t="s">
        <v>92</v>
      </c>
      <c r="B50" s="18">
        <f>(-K25+SQRT(K25^2+2*K25*F8*E26))/F8</f>
        <v>9.422207506320994E-2</v>
      </c>
      <c r="C50" s="4" t="s">
        <v>7</v>
      </c>
      <c r="E50" s="168" t="s">
        <v>93</v>
      </c>
      <c r="F50" s="169"/>
      <c r="G50" s="170"/>
    </row>
    <row r="51" spans="1:15" ht="15.75" x14ac:dyDescent="0.45">
      <c r="A51" s="11" t="s">
        <v>94</v>
      </c>
      <c r="B51" s="56">
        <f>(F8*B50^3/3)+(B49*D39/10000*(E26-B50)^2)</f>
        <v>3.1246528900949564E-4</v>
      </c>
      <c r="C51" s="4" t="s">
        <v>81</v>
      </c>
      <c r="E51" s="62" t="s">
        <v>95</v>
      </c>
      <c r="F51" s="58">
        <f>1000*3*B55*F4^2*$F$8/(32*$B$44*$B$51*1000)</f>
        <v>3.9976533426671792</v>
      </c>
      <c r="G51" s="55" t="s">
        <v>36</v>
      </c>
      <c r="H51" s="63"/>
      <c r="J51" s="153"/>
      <c r="K51" s="153"/>
      <c r="L51" s="153"/>
      <c r="M51" s="3"/>
      <c r="N51" s="3"/>
      <c r="O51" s="3"/>
    </row>
    <row r="52" spans="1:15" ht="15.75" x14ac:dyDescent="0.45">
      <c r="A52" s="11" t="s">
        <v>96</v>
      </c>
      <c r="B52" s="56">
        <f>(B48/B53)^3*B45+(1-(B48/B53)^3)*B51</f>
        <v>1.1901392931713084E-3</v>
      </c>
      <c r="C52" s="4" t="s">
        <v>81</v>
      </c>
      <c r="E52" s="62" t="s">
        <v>97</v>
      </c>
      <c r="F52" s="58">
        <f>1000*3*B56*F5^2*$F$8/(32*$B$44*$B$51*1000)</f>
        <v>6.1563861477074564</v>
      </c>
      <c r="G52" s="55" t="s">
        <v>36</v>
      </c>
      <c r="J52" s="173"/>
      <c r="K52" s="173"/>
      <c r="L52" s="173"/>
      <c r="M52" s="3"/>
      <c r="N52" s="3"/>
      <c r="O52" s="3"/>
    </row>
    <row r="53" spans="1:15" ht="15.75" x14ac:dyDescent="0.45">
      <c r="A53" s="11" t="s">
        <v>98</v>
      </c>
      <c r="B53" s="24">
        <v>17</v>
      </c>
      <c r="C53" s="4" t="s">
        <v>88</v>
      </c>
      <c r="E53" s="62" t="s">
        <v>99</v>
      </c>
      <c r="F53" s="58">
        <f>(F51+F52)/2</f>
        <v>5.077019745187318</v>
      </c>
      <c r="G53" s="64" t="s">
        <v>36</v>
      </c>
      <c r="J53" s="173"/>
      <c r="K53" s="173"/>
      <c r="L53" s="173"/>
      <c r="M53" s="3"/>
      <c r="N53" s="65"/>
      <c r="O53" s="65"/>
    </row>
    <row r="54" spans="1:15" ht="15.75" x14ac:dyDescent="0.45">
      <c r="A54" s="11" t="s">
        <v>100</v>
      </c>
      <c r="B54" s="24">
        <v>15</v>
      </c>
      <c r="C54" s="4" t="s">
        <v>88</v>
      </c>
      <c r="E54" s="168" t="s">
        <v>101</v>
      </c>
      <c r="F54" s="169"/>
      <c r="G54" s="170"/>
      <c r="J54" s="173"/>
      <c r="K54" s="173"/>
      <c r="L54" s="173"/>
      <c r="M54" s="3"/>
      <c r="N54" s="65"/>
      <c r="O54" s="65"/>
    </row>
    <row r="55" spans="1:15" ht="15.75" x14ac:dyDescent="0.45">
      <c r="A55" s="11" t="s">
        <v>102</v>
      </c>
      <c r="B55" s="24">
        <v>7</v>
      </c>
      <c r="C55" s="4" t="s">
        <v>88</v>
      </c>
      <c r="E55" s="62" t="s">
        <v>103</v>
      </c>
      <c r="F55" s="66">
        <f>F49+F53</f>
        <v>18.326385109455686</v>
      </c>
      <c r="G55" s="55" t="s">
        <v>36</v>
      </c>
      <c r="J55" s="173"/>
      <c r="K55" s="173"/>
      <c r="L55" s="173"/>
      <c r="M55" s="3"/>
      <c r="N55" s="65"/>
      <c r="O55" s="65"/>
    </row>
    <row r="56" spans="1:15" ht="15.75" x14ac:dyDescent="0.45">
      <c r="A56" s="11" t="s">
        <v>104</v>
      </c>
      <c r="B56" s="24">
        <v>5.5</v>
      </c>
      <c r="C56" s="4" t="s">
        <v>88</v>
      </c>
      <c r="E56" s="62" t="s">
        <v>105</v>
      </c>
      <c r="F56" s="137">
        <f>F4/240*1000</f>
        <v>29.166666666666668</v>
      </c>
      <c r="G56" s="67" t="s">
        <v>36</v>
      </c>
      <c r="K56" s="68"/>
      <c r="L56" s="68"/>
    </row>
    <row r="57" spans="1:15" ht="15" x14ac:dyDescent="0.45">
      <c r="A57" s="8"/>
      <c r="F57" s="174" t="str">
        <f>IF((F55/F56)&lt;1,"OK","NO")</f>
        <v>OK</v>
      </c>
      <c r="G57" s="175"/>
      <c r="K57" s="68"/>
      <c r="L57" s="68"/>
    </row>
    <row r="58" spans="1:15" ht="15" x14ac:dyDescent="0.45">
      <c r="A58" s="8"/>
      <c r="G58" s="10"/>
      <c r="K58" s="68"/>
      <c r="L58" s="68"/>
    </row>
    <row r="59" spans="1:15" ht="15" x14ac:dyDescent="0.45">
      <c r="A59" s="8"/>
      <c r="B59" s="168" t="s">
        <v>106</v>
      </c>
      <c r="C59" s="169"/>
      <c r="D59" s="171"/>
      <c r="E59" s="62" t="s">
        <v>35</v>
      </c>
      <c r="F59" s="62" t="s">
        <v>107</v>
      </c>
      <c r="G59" s="10"/>
      <c r="K59" s="68"/>
      <c r="L59" s="69"/>
    </row>
    <row r="60" spans="1:15" ht="15" x14ac:dyDescent="0.45">
      <c r="A60" s="8"/>
      <c r="B60" s="172" t="s">
        <v>108</v>
      </c>
      <c r="C60" s="172"/>
      <c r="D60" s="62" t="s">
        <v>109</v>
      </c>
      <c r="E60" s="70">
        <f>K13</f>
        <v>10</v>
      </c>
      <c r="F60" s="71">
        <f>D38</f>
        <v>150</v>
      </c>
      <c r="G60" s="10"/>
      <c r="K60" s="68"/>
      <c r="L60" s="68"/>
    </row>
    <row r="61" spans="1:15" ht="16.5" customHeight="1" x14ac:dyDescent="0.45">
      <c r="A61" s="8"/>
      <c r="B61" s="172"/>
      <c r="C61" s="172"/>
      <c r="D61" s="62" t="s">
        <v>110</v>
      </c>
      <c r="E61" s="70">
        <f>E60</f>
        <v>10</v>
      </c>
      <c r="F61" s="71">
        <f>F38</f>
        <v>150</v>
      </c>
      <c r="G61" s="72"/>
      <c r="K61" s="68"/>
      <c r="L61" s="68"/>
    </row>
    <row r="62" spans="1:15" ht="16.5" customHeight="1" x14ac:dyDescent="0.45">
      <c r="A62" s="8"/>
      <c r="B62" s="172" t="s">
        <v>111</v>
      </c>
      <c r="C62" s="172"/>
      <c r="D62" s="62" t="s">
        <v>109</v>
      </c>
      <c r="E62" s="70">
        <f t="shared" ref="E62:E63" si="1">E61</f>
        <v>10</v>
      </c>
      <c r="F62" s="71">
        <f>E38</f>
        <v>100</v>
      </c>
      <c r="G62" s="10"/>
      <c r="K62" s="68"/>
      <c r="L62" s="68"/>
    </row>
    <row r="63" spans="1:15" ht="16.5" customHeight="1" x14ac:dyDescent="0.45">
      <c r="A63" s="8"/>
      <c r="B63" s="172"/>
      <c r="C63" s="172"/>
      <c r="D63" s="62" t="s">
        <v>110</v>
      </c>
      <c r="E63" s="70">
        <f t="shared" si="1"/>
        <v>10</v>
      </c>
      <c r="F63" s="71">
        <f>G38</f>
        <v>100</v>
      </c>
      <c r="G63" s="10"/>
      <c r="K63" s="68"/>
      <c r="L63" s="68"/>
    </row>
    <row r="64" spans="1:15" ht="16.5" customHeight="1" x14ac:dyDescent="0.45">
      <c r="A64" s="8"/>
      <c r="D64" s="73"/>
      <c r="E64" s="3"/>
      <c r="F64" s="3"/>
      <c r="G64" s="10"/>
      <c r="K64" s="68"/>
      <c r="L64" s="68"/>
    </row>
    <row r="65" spans="1:12" ht="15" customHeight="1" x14ac:dyDescent="0.45">
      <c r="A65" s="8"/>
      <c r="D65" s="3"/>
      <c r="E65" s="3"/>
      <c r="F65" s="3"/>
      <c r="G65" s="10"/>
      <c r="K65" s="68"/>
      <c r="L65" s="68"/>
    </row>
    <row r="66" spans="1:12" ht="15" customHeight="1" x14ac:dyDescent="0.45">
      <c r="A66" s="8"/>
      <c r="E66" s="3"/>
      <c r="F66" s="3"/>
      <c r="G66" s="10"/>
      <c r="K66" s="68"/>
      <c r="L66" s="68"/>
    </row>
    <row r="67" spans="1:12" x14ac:dyDescent="0.45">
      <c r="A67" s="8"/>
      <c r="E67" s="3"/>
      <c r="F67" s="3"/>
      <c r="G67" s="10"/>
    </row>
    <row r="68" spans="1:12" x14ac:dyDescent="0.45">
      <c r="A68" s="8"/>
      <c r="E68" s="3"/>
      <c r="F68" s="3"/>
      <c r="G68" s="10"/>
    </row>
    <row r="69" spans="1:12" ht="19.5" customHeight="1" x14ac:dyDescent="0.45">
      <c r="A69" s="8"/>
      <c r="E69" s="3"/>
      <c r="F69" s="3"/>
      <c r="G69" s="10"/>
    </row>
    <row r="70" spans="1:12" x14ac:dyDescent="0.45">
      <c r="A70" s="8"/>
      <c r="E70" s="3"/>
      <c r="F70" s="3"/>
      <c r="G70" s="10"/>
    </row>
    <row r="71" spans="1:12" ht="15" customHeight="1" x14ac:dyDescent="0.45">
      <c r="A71" s="8"/>
      <c r="E71" s="3"/>
      <c r="F71" s="3"/>
      <c r="G71" s="10"/>
    </row>
    <row r="72" spans="1:12" ht="15" customHeight="1" thickBot="1" x14ac:dyDescent="0.5">
      <c r="A72" s="74"/>
      <c r="B72" s="75"/>
      <c r="C72" s="75"/>
      <c r="D72" s="75"/>
      <c r="E72" s="76"/>
      <c r="F72" s="76"/>
      <c r="G72" s="77"/>
    </row>
    <row r="73" spans="1:12" x14ac:dyDescent="0.45">
      <c r="E73" s="3"/>
      <c r="F73" s="3"/>
    </row>
    <row r="74" spans="1:12" x14ac:dyDescent="0.45">
      <c r="E74" s="3"/>
      <c r="F74" s="3"/>
    </row>
    <row r="84" spans="1:5" ht="15.75" x14ac:dyDescent="0.45">
      <c r="A84" s="53"/>
      <c r="B84" s="3"/>
      <c r="C84" s="53"/>
      <c r="D84" s="3"/>
    </row>
    <row r="85" spans="1:5" x14ac:dyDescent="0.45">
      <c r="A85" s="3"/>
      <c r="B85" s="78"/>
      <c r="C85" s="3"/>
      <c r="D85" s="3"/>
    </row>
    <row r="87" spans="1:5" x14ac:dyDescent="0.45">
      <c r="B87" s="24"/>
      <c r="D87" s="24"/>
    </row>
    <row r="88" spans="1:5" x14ac:dyDescent="0.45">
      <c r="B88" s="24"/>
      <c r="D88" s="24"/>
    </row>
    <row r="89" spans="1:5" x14ac:dyDescent="0.45">
      <c r="B89" s="24"/>
      <c r="D89" s="24"/>
    </row>
    <row r="90" spans="1:5" x14ac:dyDescent="0.45">
      <c r="B90" s="18"/>
      <c r="D90" s="18"/>
    </row>
    <row r="91" spans="1:5" ht="20.25" customHeight="1" x14ac:dyDescent="0.45">
      <c r="B91" s="24"/>
      <c r="D91" s="24"/>
    </row>
    <row r="92" spans="1:5" ht="19.5" customHeight="1" x14ac:dyDescent="0.45">
      <c r="B92" s="24"/>
      <c r="D92" s="24"/>
    </row>
    <row r="93" spans="1:5" x14ac:dyDescent="0.45">
      <c r="B93" s="24"/>
      <c r="D93" s="24"/>
    </row>
    <row r="95" spans="1:5" x14ac:dyDescent="0.45">
      <c r="E95" s="79"/>
    </row>
    <row r="96" spans="1:5" x14ac:dyDescent="0.45">
      <c r="A96" s="80"/>
      <c r="B96" s="80"/>
      <c r="C96" s="80"/>
      <c r="D96" s="80"/>
      <c r="E96" s="81"/>
    </row>
    <row r="97" spans="1:5" x14ac:dyDescent="0.45">
      <c r="E97" s="81"/>
    </row>
    <row r="98" spans="1:5" x14ac:dyDescent="0.45">
      <c r="E98" s="81"/>
    </row>
    <row r="99" spans="1:5" ht="18" customHeight="1" x14ac:dyDescent="0.45">
      <c r="E99" s="81"/>
    </row>
    <row r="100" spans="1:5" x14ac:dyDescent="0.45">
      <c r="E100" s="81"/>
    </row>
    <row r="101" spans="1:5" x14ac:dyDescent="0.45">
      <c r="E101" s="81"/>
    </row>
    <row r="102" spans="1:5" x14ac:dyDescent="0.45">
      <c r="E102" s="81"/>
    </row>
    <row r="103" spans="1:5" x14ac:dyDescent="0.45">
      <c r="E103" s="81"/>
    </row>
    <row r="104" spans="1:5" x14ac:dyDescent="0.45">
      <c r="E104" s="81"/>
    </row>
    <row r="105" spans="1:5" x14ac:dyDescent="0.45">
      <c r="E105" s="81"/>
    </row>
    <row r="106" spans="1:5" x14ac:dyDescent="0.45">
      <c r="E106" s="81"/>
    </row>
    <row r="107" spans="1:5" x14ac:dyDescent="0.45">
      <c r="E107" s="81"/>
    </row>
    <row r="108" spans="1:5" x14ac:dyDescent="0.45">
      <c r="E108" s="81"/>
    </row>
    <row r="109" spans="1:5" x14ac:dyDescent="0.45">
      <c r="E109" s="81"/>
    </row>
    <row r="110" spans="1:5" x14ac:dyDescent="0.45">
      <c r="E110" s="82"/>
    </row>
    <row r="111" spans="1:5" x14ac:dyDescent="0.45">
      <c r="A111" s="83"/>
      <c r="B111" s="83"/>
      <c r="C111" s="83"/>
      <c r="D111" s="83"/>
    </row>
    <row r="117" ht="15.75" customHeight="1" x14ac:dyDescent="0.45"/>
    <row r="118" ht="15.75" customHeight="1" x14ac:dyDescent="0.45"/>
    <row r="130" ht="87.75" customHeight="1" x14ac:dyDescent="0.45"/>
  </sheetData>
  <mergeCells count="41">
    <mergeCell ref="A1:G1"/>
    <mergeCell ref="A2:C2"/>
    <mergeCell ref="F2:G2"/>
    <mergeCell ref="A10:C10"/>
    <mergeCell ref="A11:A12"/>
    <mergeCell ref="D11:D12"/>
    <mergeCell ref="E11:E12"/>
    <mergeCell ref="F11:F12"/>
    <mergeCell ref="A31:C31"/>
    <mergeCell ref="D15:G20"/>
    <mergeCell ref="A20:B20"/>
    <mergeCell ref="A21:B21"/>
    <mergeCell ref="B22:C22"/>
    <mergeCell ref="B23:C23"/>
    <mergeCell ref="A24:C25"/>
    <mergeCell ref="A26:C26"/>
    <mergeCell ref="A27:C27"/>
    <mergeCell ref="A28:C28"/>
    <mergeCell ref="A29:C29"/>
    <mergeCell ref="A30:C30"/>
    <mergeCell ref="J51:L51"/>
    <mergeCell ref="A32:C32"/>
    <mergeCell ref="A33:C33"/>
    <mergeCell ref="A34:C34"/>
    <mergeCell ref="A35:C35"/>
    <mergeCell ref="A36:C36"/>
    <mergeCell ref="A37:C37"/>
    <mergeCell ref="A38:C38"/>
    <mergeCell ref="A39:C39"/>
    <mergeCell ref="A40:C40"/>
    <mergeCell ref="E45:G45"/>
    <mergeCell ref="E50:G50"/>
    <mergeCell ref="B59:D59"/>
    <mergeCell ref="B60:C61"/>
    <mergeCell ref="B62:C63"/>
    <mergeCell ref="J52:L52"/>
    <mergeCell ref="J53:L53"/>
    <mergeCell ref="E54:G54"/>
    <mergeCell ref="J54:L54"/>
    <mergeCell ref="J55:L55"/>
    <mergeCell ref="F57:G57"/>
  </mergeCells>
  <printOptions horizontalCentered="1"/>
  <pageMargins left="0.25" right="0.25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 codeName="Sheet40"/>
  <dimension ref="A1:R51"/>
  <sheetViews>
    <sheetView topLeftCell="A13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212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339*10^6</f>
        <v>339000000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197*10^6</f>
        <v>197000000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110*10^6</f>
        <v>110000000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40*10^6</f>
        <v>40000000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239*10^3</f>
        <v>239000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7000</v>
      </c>
      <c r="C10" s="98" t="s">
        <v>36</v>
      </c>
      <c r="E10" s="96" t="s">
        <v>139</v>
      </c>
      <c r="F10" s="99">
        <f>F7+F8</f>
        <v>150000000</v>
      </c>
      <c r="G10" s="97" t="s">
        <v>123</v>
      </c>
      <c r="J10" s="85" t="s">
        <v>140</v>
      </c>
      <c r="K10" s="85">
        <f>B8*B12</f>
        <v>246800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2.4735851749503315</v>
      </c>
      <c r="C15" s="110">
        <f>$F$6/($F$11*B8*B12^2)</f>
        <v>1.4374521518147942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6.6841837752891157E-3</v>
      </c>
      <c r="C16" s="114">
        <f>0.85*$B$5/$B$6*(1-SQRT(1-(2*C15/(0.85*$B$5))))</f>
        <v>3.7959638294978444E-3</v>
      </c>
      <c r="E16" s="96" t="s">
        <v>151</v>
      </c>
      <c r="F16" s="110">
        <f>B22*$B$6/(0.85*$B$5*$B$8)</f>
        <v>72.071831464707017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6.6841837752891157E-3</v>
      </c>
      <c r="C18" s="114">
        <f>MAX(C16:C17)</f>
        <v>3.7959638294978444E-3</v>
      </c>
      <c r="E18" s="96" t="s">
        <v>155</v>
      </c>
      <c r="F18" s="115">
        <f>0.003*($B$12-F17)/F17</f>
        <v>1.8830304128880874E-2</v>
      </c>
      <c r="G18" s="116">
        <f>0.003*($B$12-G17)/G17</f>
        <v>2.9745456193321307E-2</v>
      </c>
    </row>
    <row r="19" spans="1:18" ht="18" customHeight="1" x14ac:dyDescent="0.45">
      <c r="A19" s="94" t="s">
        <v>156</v>
      </c>
      <c r="B19" s="110">
        <f>$K$10*B18</f>
        <v>1649.6565557413537</v>
      </c>
      <c r="C19" s="117">
        <f>$K$10*C18</f>
        <v>936.843873120068</v>
      </c>
      <c r="E19" s="96" t="s">
        <v>157</v>
      </c>
      <c r="F19" s="118">
        <f>B22*$B$6*($B$12-F16/2)</f>
        <v>427085684.79753381</v>
      </c>
      <c r="G19" s="119">
        <f>C22*$B$6*($B$12-G16/2)</f>
        <v>290610718.60778993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384377116.31778044</v>
      </c>
      <c r="G20" s="119">
        <f>$F$11*G19</f>
        <v>261549646.74701095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6</v>
      </c>
      <c r="C21" s="95">
        <v>4</v>
      </c>
      <c r="E21" s="96" t="s">
        <v>76</v>
      </c>
      <c r="F21" s="120">
        <f>F20/F5</f>
        <v>1.1338558003474348</v>
      </c>
      <c r="G21" s="121">
        <f>G20/F6</f>
        <v>1.3276631814569084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1884.9555921538758</v>
      </c>
      <c r="C22" s="123">
        <f>C20^2*PI()/4*C21</f>
        <v>1256.6370614359173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172351.85717015062</v>
      </c>
      <c r="C24" s="85" t="s">
        <v>136</v>
      </c>
      <c r="E24" s="96" t="s">
        <v>169</v>
      </c>
      <c r="F24" s="99">
        <f>F9</f>
        <v>239000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86175.928585075308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66648.142829849385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153.56099132855331</v>
      </c>
      <c r="C29" s="104" t="s">
        <v>36</v>
      </c>
      <c r="D29" s="104"/>
      <c r="E29" s="105" t="s">
        <v>178</v>
      </c>
      <c r="F29" s="128">
        <f>MIN(B29,F28)</f>
        <v>153.56099132855331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7829503766.666666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75965868.936757103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150.84797273241287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2579143192.6029515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0.69059880851597366</v>
      </c>
      <c r="D38" s="118">
        <f>$B$34/F10</f>
        <v>0.50643912624504739</v>
      </c>
      <c r="E38" s="118">
        <f>B34/F8</f>
        <v>1.8991467234189277</v>
      </c>
      <c r="F38" s="118">
        <f>B34/(F7+0.5*F8)</f>
        <v>0.58435283797505466</v>
      </c>
      <c r="G38" s="119">
        <f>MAX($B$34,($F$7+0.5*$F$8))</f>
        <v>130000000</v>
      </c>
    </row>
    <row r="39" spans="1:7" ht="18" customHeight="1" x14ac:dyDescent="0.45">
      <c r="A39" s="189" t="s">
        <v>193</v>
      </c>
      <c r="B39" s="190"/>
      <c r="C39" s="118">
        <f>C38^3*$B$32+(1-C38^3)*$B$36</f>
        <v>4308428311.5591068</v>
      </c>
      <c r="D39" s="118">
        <f>D38^3*$B$32+(1-D38^3)*$B$36</f>
        <v>3261122005.4416609</v>
      </c>
      <c r="E39" s="118">
        <f>$B$32*($B$34/E38)^3+(1-($B$34/E38)^3)*$B$36</f>
        <v>3.3602307674007771E+32</v>
      </c>
      <c r="F39" s="118">
        <f>$B$32*($B$34/F38)^3+(1-($B$34/F38)^3)*$B$36</f>
        <v>1.1535042181217979E+34</v>
      </c>
      <c r="G39" s="119">
        <f>$B$32*($B$34/G38)^3+(1-($B$34/G38)^3)*$B$36</f>
        <v>3626789297.8968258</v>
      </c>
    </row>
    <row r="40" spans="1:7" ht="18" customHeight="1" x14ac:dyDescent="0.45">
      <c r="A40" s="189" t="s">
        <v>194</v>
      </c>
      <c r="B40" s="190"/>
      <c r="C40" s="110">
        <f>(5/48)*$F$7*$B$10^2/($F$31*$C$39)</f>
        <v>5.0622102142396308</v>
      </c>
      <c r="D40" s="110">
        <f>(5/48)*$F$10*$B$10^2/($F$31*$C$39)</f>
        <v>6.9030139285085861</v>
      </c>
      <c r="E40" s="110">
        <f>D40-C40</f>
        <v>1.8408037142689553</v>
      </c>
      <c r="F40" s="110">
        <f>(5/48)*(F7+0.5*F8)*$B$10^2/($F$31*$C$39)</f>
        <v>5.9826120713741089</v>
      </c>
      <c r="G40" s="112">
        <f>F40-C40</f>
        <v>0.92040185713447809</v>
      </c>
    </row>
    <row r="41" spans="1:7" ht="18" customHeight="1" x14ac:dyDescent="0.45">
      <c r="A41" s="94" t="s">
        <v>195</v>
      </c>
      <c r="B41" s="110">
        <f>E40+(C40*F34)+(G40*F35)</f>
        <v>13.621947485590276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29.166666666666668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 codeName="Sheet41"/>
  <dimension ref="A1:R51"/>
  <sheetViews>
    <sheetView view="pageLayout" topLeftCell="A22" zoomScale="85" zoomScaleNormal="100" zoomScalePageLayoutView="85" workbookViewId="0">
      <selection activeCell="G42" sqref="A1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212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321*10^6</f>
        <v>321000000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129*10^6</f>
        <v>129000000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81*10^6</f>
        <v>81000000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23*10^6</f>
        <v>23000000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233*10^3</f>
        <v>233000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9980</v>
      </c>
      <c r="C10" s="98" t="s">
        <v>36</v>
      </c>
      <c r="E10" s="96" t="s">
        <v>139</v>
      </c>
      <c r="F10" s="99">
        <f>F7+F8</f>
        <v>104000000</v>
      </c>
      <c r="G10" s="97" t="s">
        <v>123</v>
      </c>
      <c r="J10" s="85" t="s">
        <v>140</v>
      </c>
      <c r="K10" s="85">
        <f>B8*B12</f>
        <v>232800</v>
      </c>
    </row>
    <row r="11" spans="1:17" ht="18" customHeight="1" x14ac:dyDescent="0.45">
      <c r="A11" s="94" t="s">
        <v>141</v>
      </c>
      <c r="B11" s="95">
        <f>40+60</f>
        <v>100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582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2.6324283684258178</v>
      </c>
      <c r="C15" s="110">
        <f>$F$6/($F$11*B8*B12^2)</f>
        <v>1.0578917742271978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7.1396186915231481E-3</v>
      </c>
      <c r="C16" s="114">
        <f>0.85*$B$5/$B$6*(1-SQRT(1-(2*C15/(0.85*$B$5))))</f>
        <v>2.7712720300378572E-3</v>
      </c>
      <c r="E16" s="96" t="s">
        <v>151</v>
      </c>
      <c r="F16" s="110">
        <f>B22*$B$6/(0.85*$B$5*$B$8)</f>
        <v>72.071831464707017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7.1396186915231481E-3</v>
      </c>
      <c r="C18" s="114">
        <f>MAX(C16:C17)</f>
        <v>3.5897435897435893E-3</v>
      </c>
      <c r="E18" s="96" t="s">
        <v>155</v>
      </c>
      <c r="F18" s="115">
        <f>0.003*($B$12-F17)/F17</f>
        <v>1.7591956244746628E-2</v>
      </c>
      <c r="G18" s="116">
        <f>0.003*($B$12-G17)/G17</f>
        <v>3.8183912489493252E-2</v>
      </c>
    </row>
    <row r="19" spans="1:18" ht="18" customHeight="1" x14ac:dyDescent="0.45">
      <c r="A19" s="94" t="s">
        <v>156</v>
      </c>
      <c r="B19" s="110">
        <f>$K$10*B18</f>
        <v>1662.103231386589</v>
      </c>
      <c r="C19" s="117">
        <f>$K$10*C18</f>
        <v>835.69230769230762</v>
      </c>
      <c r="E19" s="96" t="s">
        <v>157</v>
      </c>
      <c r="F19" s="118">
        <f>B22*$B$6*($B$12-F16/2)</f>
        <v>401356040.96463341</v>
      </c>
      <c r="G19" s="119">
        <f>C22*$B$6*($B$12-G16/2)</f>
        <v>207300815.31793004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361220436.86817008</v>
      </c>
      <c r="G20" s="119">
        <f>$F$11*G19</f>
        <v>186570733.78613704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6</v>
      </c>
      <c r="C21" s="95">
        <v>3</v>
      </c>
      <c r="E21" s="96" t="s">
        <v>76</v>
      </c>
      <c r="F21" s="120">
        <f>F20/F5</f>
        <v>1.1252973111157947</v>
      </c>
      <c r="G21" s="121">
        <f>G20/F6</f>
        <v>1.4462847580320701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1884.9555921538758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162575.00951868342</v>
      </c>
      <c r="C24" s="85" t="s">
        <v>136</v>
      </c>
      <c r="E24" s="96" t="s">
        <v>169</v>
      </c>
      <c r="F24" s="99">
        <f>F9</f>
        <v>233000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81287.504759341711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70424.990481316578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3*B27^2*PI()/4</f>
        <v>150.79644737231007</v>
      </c>
      <c r="C28" s="85" t="s">
        <v>175</v>
      </c>
      <c r="E28" s="96" t="s">
        <v>176</v>
      </c>
      <c r="F28" s="111">
        <f>MIN((B28*B7/(B8*0.062*SQRT(B5))),(B28*B7/(0.345*B8)),B12/2,600)</f>
        <v>240.40013349208849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205.62278734002348</v>
      </c>
      <c r="C29" s="104" t="s">
        <v>36</v>
      </c>
      <c r="D29" s="104"/>
      <c r="E29" s="105" t="s">
        <v>178</v>
      </c>
      <c r="F29" s="128">
        <f>MIN(B29,F28)</f>
        <v>205.62278734002348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6571245599.999999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63757601.615327805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128.80919494944987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1788808031.6332626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0.78713088413984944</v>
      </c>
      <c r="D38" s="118">
        <f>$B$34/F10</f>
        <v>0.6130538616858443</v>
      </c>
      <c r="E38" s="118">
        <f>B34/F8</f>
        <v>2.7720696354490348</v>
      </c>
      <c r="F38" s="118">
        <f>B34/(F7+0.5*F8)</f>
        <v>0.68927136881435469</v>
      </c>
      <c r="G38" s="119">
        <f>MAX($B$34,($F$7+0.5*$F$8))</f>
        <v>92500000</v>
      </c>
    </row>
    <row r="39" spans="1:7" ht="18" customHeight="1" x14ac:dyDescent="0.45">
      <c r="A39" s="189" t="s">
        <v>193</v>
      </c>
      <c r="B39" s="190"/>
      <c r="C39" s="118">
        <f>C38^3*$B$32+(1-C38^3)*$B$36</f>
        <v>4121138941.2405834</v>
      </c>
      <c r="D39" s="118">
        <f>D38^3*$B$32+(1-D38^3)*$B$36</f>
        <v>2890715703.0785437</v>
      </c>
      <c r="E39" s="118">
        <f>$B$32*($B$34/E38)^3+(1-($B$34/E38)^3)*$B$36</f>
        <v>5.818791789431809E+31</v>
      </c>
      <c r="F39" s="118">
        <f>$B$32*($B$34/F38)^3+(1-($B$34/F38)^3)*$B$36</f>
        <v>3.7850751586012547E+33</v>
      </c>
      <c r="G39" s="119">
        <f>$B$32*($B$34/G38)^3+(1-($B$34/G38)^3)*$B$36</f>
        <v>3354909967.1491842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7.9213486077846911</v>
      </c>
      <c r="D40" s="110">
        <f>(5/48)*$F$10*$B$10^2/($F$31*$C$39)</f>
        <v>10.170620434686517</v>
      </c>
      <c r="E40" s="110">
        <f>D40-C40</f>
        <v>2.2492718269018264</v>
      </c>
      <c r="F40" s="110">
        <f>(5/48)*(F7+0.5*F8)*$B$10^2/($F$31*$C$39)</f>
        <v>9.0459845212356047</v>
      </c>
      <c r="G40" s="112">
        <f>F40-C40</f>
        <v>1.1246359134509136</v>
      </c>
    </row>
    <row r="41" spans="1:7" ht="18" customHeight="1" x14ac:dyDescent="0.45">
      <c r="A41" s="94" t="s">
        <v>195</v>
      </c>
      <c r="B41" s="110">
        <f>E40+(C40*F34)+(G40*F35)</f>
        <v>20.116313686682854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41.583333333333336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sheetPr codeName="Sheet42"/>
  <dimension ref="A1:R51"/>
  <sheetViews>
    <sheetView zoomScale="55" zoomScaleNormal="55" zoomScalePageLayoutView="70" workbookViewId="0">
      <selection activeCell="G21" sqref="G21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245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221*10^6</f>
        <v>221000000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104*10^6</f>
        <v>104000000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59*10^6</f>
        <v>59000000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22*10^6</f>
        <v>22000000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194*10^3</f>
        <v>194000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5570</v>
      </c>
      <c r="C10" s="98" t="s">
        <v>36</v>
      </c>
      <c r="E10" s="96" t="s">
        <v>139</v>
      </c>
      <c r="F10" s="99">
        <f>F7+F8</f>
        <v>81000000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1.4894286955893501</v>
      </c>
      <c r="C15" s="110">
        <f>$F$6/($F$11*B8*B12^2)</f>
        <v>0.7009076214538118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3.9376140912378201E-3</v>
      </c>
      <c r="C16" s="114">
        <f>0.85*$B$5/$B$6*(1-SQRT(1-(2*C15/(0.85*$B$5))))</f>
        <v>1.8226016155070007E-3</v>
      </c>
      <c r="E16" s="96" t="s">
        <v>151</v>
      </c>
      <c r="F16" s="110">
        <f>B22*$B$6/(0.85*$B$5*$B$8)</f>
        <v>48.047887643138019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3.9376140912378201E-3</v>
      </c>
      <c r="C18" s="114">
        <f>MAX(C16:C17)</f>
        <v>3.5897435897435893E-3</v>
      </c>
      <c r="E18" s="96" t="s">
        <v>155</v>
      </c>
      <c r="F18" s="115">
        <f>0.003*($B$12-F17)/F17</f>
        <v>3.1072257497750857E-2</v>
      </c>
      <c r="G18" s="116">
        <f>0.003*($B$12-G17)/G17</f>
        <v>4.2429676663667808E-2</v>
      </c>
    </row>
    <row r="19" spans="1:18" ht="18" customHeight="1" x14ac:dyDescent="0.45">
      <c r="A19" s="94" t="s">
        <v>156</v>
      </c>
      <c r="B19" s="110">
        <f>$K$10*B18</f>
        <v>1011.1792986298722</v>
      </c>
      <c r="C19" s="117">
        <f>$K$10*C18</f>
        <v>921.8461538461537</v>
      </c>
      <c r="E19" s="96" t="s">
        <v>157</v>
      </c>
      <c r="F19" s="118">
        <f>B22*$B$6*($B$12-F16/2)</f>
        <v>302862929.95679015</v>
      </c>
      <c r="G19" s="119">
        <f>C22*$B$6*($B$12-G16/2)</f>
        <v>229354795.74613041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272576636.96111113</v>
      </c>
      <c r="G20" s="119">
        <f>$F$11*G19</f>
        <v>206419316.17151737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4</v>
      </c>
      <c r="C21" s="95">
        <v>3</v>
      </c>
      <c r="E21" s="96" t="s">
        <v>76</v>
      </c>
      <c r="F21" s="120">
        <f>F20/F5</f>
        <v>1.2333784477878331</v>
      </c>
      <c r="G21" s="121">
        <f>G20/F6</f>
        <v>1.9848011170338209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1256.6370614359173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194000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14664.68022165852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726.18324794457374</v>
      </c>
      <c r="C29" s="104" t="s">
        <v>36</v>
      </c>
      <c r="D29" s="104"/>
      <c r="E29" s="105" t="s">
        <v>178</v>
      </c>
      <c r="F29" s="128">
        <f>MIN(B29,F28)</f>
        <v>160.26675566139235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136.09462350734012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2210144915.1727953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1.4504945132695439</v>
      </c>
      <c r="D38" s="118">
        <f>$B$34/F10</f>
        <v>1.0565330405296678</v>
      </c>
      <c r="E38" s="118">
        <f>B34/F8</f>
        <v>3.8899625583137767</v>
      </c>
      <c r="F38" s="118">
        <f>B34/(F7+0.5*F8)</f>
        <v>1.2225596611843299</v>
      </c>
      <c r="G38" s="119">
        <f>MAX($B$34,($F$7+0.5*$F$8))</f>
        <v>85579176.28290309</v>
      </c>
    </row>
    <row r="39" spans="1:7" ht="18" customHeight="1" x14ac:dyDescent="0.45">
      <c r="A39" s="189" t="s">
        <v>193</v>
      </c>
      <c r="B39" s="190"/>
      <c r="C39" s="118">
        <f>C38^3*$B$32+(1-C38^3)*$B$36</f>
        <v>22382683305.160969</v>
      </c>
      <c r="D39" s="118">
        <f>D38^3*$B$32+(1-D38^3)*$B$36</f>
        <v>10005959995.299057</v>
      </c>
      <c r="E39" s="118">
        <f>$B$32*($B$34/E38)^3+(1-($B$34/E38)^3)*$B$36</f>
        <v>7.0385033564040063E+31</v>
      </c>
      <c r="F39" s="118">
        <f>$B$32*($B$34/F38)^3+(1-($B$34/F38)^3)*$B$36</f>
        <v>2.2672864868957304E+33</v>
      </c>
      <c r="G39" s="119">
        <f>$B$32*($B$34/G38)^3+(1-($B$34/G38)^3)*$B$36</f>
        <v>8820309599.9999981</v>
      </c>
    </row>
    <row r="40" spans="1:7" ht="18" customHeight="1" x14ac:dyDescent="0.45">
      <c r="A40" s="189" t="s">
        <v>194</v>
      </c>
      <c r="B40" s="190"/>
      <c r="C40" s="110">
        <f>(5/48)*$F$7*$B$10^2/($F$31*$C$39)</f>
        <v>0.33091810888577722</v>
      </c>
      <c r="D40" s="110">
        <f>(5/48)*$F$10*$B$10^2/($F$31*$C$39)</f>
        <v>0.45431130202962627</v>
      </c>
      <c r="E40" s="110">
        <f>D40-C40</f>
        <v>0.12339319314384906</v>
      </c>
      <c r="F40" s="110">
        <f>(5/48)*(F7+0.5*F8)*$B$10^2/($F$31*$C$39)</f>
        <v>0.39261470545770177</v>
      </c>
      <c r="G40" s="112">
        <f>F40-C40</f>
        <v>6.1696596571924556E-2</v>
      </c>
    </row>
    <row r="41" spans="1:7" ht="18" customHeight="1" x14ac:dyDescent="0.45">
      <c r="A41" s="94" t="s">
        <v>195</v>
      </c>
      <c r="B41" s="110">
        <f>E40+(C40*F34)+(G40*F35)</f>
        <v>0.89628328474486763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23.208333333333332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5">
    <tabColor rgb="FF00B050"/>
  </sheetPr>
  <dimension ref="A1:R51"/>
  <sheetViews>
    <sheetView zoomScale="70" zoomScaleNormal="70" zoomScalePageLayoutView="85" workbookViewId="0">
      <selection activeCell="D12" sqref="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  <c r="H2" s="89">
        <f>266*10^6</f>
        <v>266000000</v>
      </c>
    </row>
    <row r="3" spans="1:17" ht="18" customHeight="1" x14ac:dyDescent="0.45">
      <c r="A3" s="181" t="s">
        <v>225</v>
      </c>
      <c r="B3" s="182"/>
      <c r="C3" s="182"/>
      <c r="D3" s="182"/>
      <c r="E3" s="182"/>
      <c r="F3" s="182"/>
      <c r="G3" s="183"/>
      <c r="H3" s="95">
        <f>570*10^6</f>
        <v>570000000</v>
      </c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95">
        <f>298*10^6</f>
        <v>298000000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169*10^6</f>
        <v>169000000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94*10^6</f>
        <v>94000000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v>37000000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250*10^3</f>
        <v>250000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6900</v>
      </c>
      <c r="C10" s="98" t="s">
        <v>36</v>
      </c>
      <c r="E10" s="96" t="s">
        <v>139</v>
      </c>
      <c r="F10" s="99">
        <f>F7+F8</f>
        <v>131000000</v>
      </c>
      <c r="G10" s="97" t="s">
        <v>123</v>
      </c>
      <c r="J10" s="85" t="s">
        <v>140</v>
      </c>
      <c r="K10" s="85">
        <f>B8*B12</f>
        <v>242800</v>
      </c>
    </row>
    <row r="11" spans="1:17" ht="18" customHeight="1" x14ac:dyDescent="0.45">
      <c r="A11" s="94" t="s">
        <v>141</v>
      </c>
      <c r="B11" s="95">
        <v>50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2.2466549719982352</v>
      </c>
      <c r="C15" s="110">
        <f>$F$6/($F$11*B8*B12^2)</f>
        <v>1.2741096988849052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6.039593131743278E-3</v>
      </c>
      <c r="C16" s="114">
        <f>0.85*$B$5/$B$6*(1-SQRT(1-(2*C15/(0.85*$B$5))))</f>
        <v>3.352916559329146E-3</v>
      </c>
      <c r="E16" s="96" t="s">
        <v>151</v>
      </c>
      <c r="F16" s="110">
        <f>B22*$B$6/(0.85*$B$5*$B$8)</f>
        <v>60.059859553922522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70.658658298732377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6.039593131743278E-3</v>
      </c>
      <c r="C18" s="114">
        <f>MAX(C16:C17)</f>
        <v>3.5897435897435893E-3</v>
      </c>
      <c r="E18" s="96" t="s">
        <v>155</v>
      </c>
      <c r="F18" s="115">
        <f>0.003*($B$12-F17)/F17</f>
        <v>2.2771788537239591E-2</v>
      </c>
      <c r="G18" s="116">
        <f>0.003*($B$12-G17)/G17</f>
        <v>3.9952980895399316E-2</v>
      </c>
    </row>
    <row r="19" spans="1:18" ht="18" customHeight="1" x14ac:dyDescent="0.45">
      <c r="A19" s="94" t="s">
        <v>156</v>
      </c>
      <c r="B19" s="110">
        <f>$K$10*B18</f>
        <v>1466.4132123872678</v>
      </c>
      <c r="C19" s="117">
        <f>$K$10*C18</f>
        <v>871.58974358974353</v>
      </c>
      <c r="E19" s="96" t="s">
        <v>157</v>
      </c>
      <c r="F19" s="118">
        <f>B22*$B$6*($B$12-F16/2)</f>
        <v>353457962.12100774</v>
      </c>
      <c r="G19" s="119">
        <f>C22*$B$6*($B$12-G16/2)</f>
        <v>216489973.8296802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318112165.908907</v>
      </c>
      <c r="G20" s="119">
        <f>$F$11*G19</f>
        <v>194840976.4467122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5</v>
      </c>
      <c r="C21" s="95">
        <v>3</v>
      </c>
      <c r="E21" s="96" t="s">
        <v>76</v>
      </c>
      <c r="F21" s="120">
        <f>F20/F5</f>
        <v>1.0674904896272046</v>
      </c>
      <c r="G21" s="121">
        <f>G20/F6</f>
        <v>1.1529051860752202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1570.7963267948967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169558.47212687429</v>
      </c>
      <c r="C24" s="85" t="s">
        <v>136</v>
      </c>
      <c r="E24" s="96" t="s">
        <v>169</v>
      </c>
      <c r="F24" s="99">
        <f>F9</f>
        <v>250000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84779.236063437143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  <c r="H25" s="95">
        <v>20</v>
      </c>
    </row>
    <row r="26" spans="1:18" ht="18" customHeight="1" x14ac:dyDescent="0.45">
      <c r="A26" s="94" t="s">
        <v>172</v>
      </c>
      <c r="B26" s="110">
        <f>IF(F24&gt;B24,F24-B24, "N/A")</f>
        <v>80441.527873125713</v>
      </c>
      <c r="C26" s="85" t="s">
        <v>136</v>
      </c>
      <c r="D26" s="190"/>
      <c r="E26" s="190"/>
      <c r="G26" s="112"/>
      <c r="H26" s="95">
        <v>6</v>
      </c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  <c r="H27" s="123">
        <f>H25^2*PI()/4*H26</f>
        <v>1884.9555921538758</v>
      </c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125.16767218705368</v>
      </c>
      <c r="C29" s="104" t="s">
        <v>36</v>
      </c>
      <c r="D29" s="104"/>
      <c r="E29" s="105" t="s">
        <v>178</v>
      </c>
      <c r="F29" s="128">
        <f>MIN(B29,F28)</f>
        <v>125.16767218705368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7454951433.3333321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72331769.725374997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131.8877435620424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1958737014.5385826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0.76948691197207442</v>
      </c>
      <c r="D38" s="118">
        <f>$B$34/F10</f>
        <v>0.55215091393416027</v>
      </c>
      <c r="E38" s="118">
        <f>B34/F8</f>
        <v>1.9549126952804052</v>
      </c>
      <c r="F38" s="118">
        <f>B34/(F7+0.5*F8)</f>
        <v>0.64294906422555553</v>
      </c>
      <c r="G38" s="119">
        <f>MAX($B$34,($F$7+0.5*$F$8))</f>
        <v>112500000</v>
      </c>
    </row>
    <row r="39" spans="1:7" ht="18" customHeight="1" x14ac:dyDescent="0.45">
      <c r="A39" s="189" t="s">
        <v>193</v>
      </c>
      <c r="B39" s="190"/>
      <c r="C39" s="118">
        <f>C38^3*$B$32+(1-C38^3)*$B$36</f>
        <v>4462927605.0791531</v>
      </c>
      <c r="D39" s="118">
        <f>D38^3*$B$32+(1-D38^3)*$B$36</f>
        <v>2883940059.0121155</v>
      </c>
      <c r="E39" s="118">
        <f>$B$32*($B$34/E38)^3+(1-($B$34/E38)^3)*$B$36</f>
        <v>2.7839974895521044E+32</v>
      </c>
      <c r="F39" s="118">
        <f>$B$32*($B$34/F38)^3+(1-($B$34/F38)^3)*$B$36</f>
        <v>7.8256646705104923E+33</v>
      </c>
      <c r="G39" s="119">
        <f>$B$32*($B$34/G38)^3+(1-($B$34/G38)^3)*$B$36</f>
        <v>3419545802.4346275</v>
      </c>
    </row>
    <row r="40" spans="1:7" ht="18" customHeight="1" x14ac:dyDescent="0.45">
      <c r="A40" s="189" t="s">
        <v>194</v>
      </c>
      <c r="B40" s="190"/>
      <c r="C40" s="110">
        <f>(5/48)*$F$7*$B$10^2/($F$31*$C$39)</f>
        <v>4.0576676701869516</v>
      </c>
      <c r="D40" s="110">
        <f>(5/48)*$F$10*$B$10^2/($F$31*$C$39)</f>
        <v>5.6548347318562824</v>
      </c>
      <c r="E40" s="110">
        <f>D40-C40</f>
        <v>1.5971670616693308</v>
      </c>
      <c r="F40" s="110">
        <f>(5/48)*(F7+0.5*F8)*$B$10^2/($F$31*$C$39)</f>
        <v>4.8562512010216166</v>
      </c>
      <c r="G40" s="112">
        <f>F40-C40</f>
        <v>0.79858353083466493</v>
      </c>
    </row>
    <row r="41" spans="1:7" ht="18" customHeight="1" x14ac:dyDescent="0.45">
      <c r="A41" s="94" t="s">
        <v>195</v>
      </c>
      <c r="B41" s="110">
        <f>E40+(C40*F34)+(G40*F35)</f>
        <v>11.149952757545632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28.75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sheetPr codeName="Sheet43"/>
  <dimension ref="A1:R51"/>
  <sheetViews>
    <sheetView topLeftCell="A19" zoomScaleNormal="100" zoomScalePageLayoutView="70" workbookViewId="0">
      <selection activeCell="A4" sqref="A4:D4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246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115*10^6</f>
        <v>115000000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147*10^6</f>
        <v>147000000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79*10^6</f>
        <v>79000000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33*10^6</f>
        <v>33000000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113*10^3</f>
        <v>113000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7000</v>
      </c>
      <c r="C10" s="98" t="s">
        <v>36</v>
      </c>
      <c r="E10" s="96" t="s">
        <v>139</v>
      </c>
      <c r="F10" s="99">
        <f>F7+F8</f>
        <v>112000000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0.77504208141527264</v>
      </c>
      <c r="C15" s="110">
        <f>$F$6/($F$11*B8*B12^2)</f>
        <v>0.99070596493952245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2.0184423431890688E-3</v>
      </c>
      <c r="C16" s="114">
        <f>0.85*$B$5/$B$6*(1-SQRT(1-(2*C15/(0.85*$B$5))))</f>
        <v>2.5916336733611896E-3</v>
      </c>
      <c r="E16" s="96" t="s">
        <v>151</v>
      </c>
      <c r="F16" s="110">
        <f>B22*$B$6/(0.85*$B$5*$B$8)</f>
        <v>36.035915732353509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42.39519497923942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3.5897435897435893E-3</v>
      </c>
      <c r="C18" s="114">
        <f>MAX(C16:C17)</f>
        <v>3.5897435897435893E-3</v>
      </c>
      <c r="E18" s="96" t="s">
        <v>155</v>
      </c>
      <c r="F18" s="115">
        <f>0.003*($B$12-F17)/F17</f>
        <v>4.2429676663667808E-2</v>
      </c>
      <c r="G18" s="116">
        <f>0.003*($B$12-G17)/G17</f>
        <v>4.2429676663667808E-2</v>
      </c>
    </row>
    <row r="19" spans="1:18" ht="18" customHeight="1" x14ac:dyDescent="0.45">
      <c r="A19" s="94" t="s">
        <v>156</v>
      </c>
      <c r="B19" s="110">
        <f>$K$10*B18</f>
        <v>921.8461538461537</v>
      </c>
      <c r="C19" s="117">
        <f>$K$10*C18</f>
        <v>921.8461538461537</v>
      </c>
      <c r="E19" s="96" t="s">
        <v>157</v>
      </c>
      <c r="F19" s="118">
        <f>B22*$B$6*($B$12-F16/2)</f>
        <v>229354795.74613041</v>
      </c>
      <c r="G19" s="119">
        <f>C22*$B$6*($B$12-G16/2)</f>
        <v>229354795.74613041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206419316.17151737</v>
      </c>
      <c r="G20" s="119">
        <f>$F$11*G19</f>
        <v>206419316.17151737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3</v>
      </c>
      <c r="C21" s="95">
        <v>3</v>
      </c>
      <c r="E21" s="96" t="s">
        <v>76</v>
      </c>
      <c r="F21" s="120">
        <f>F20/F5</f>
        <v>1.794950575404499</v>
      </c>
      <c r="G21" s="121">
        <f>G20/F6</f>
        <v>1.4042130351803903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942.47779607693792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113000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160.26675566139235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136.09462350734012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2210144915.1727953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1.0832807124418113</v>
      </c>
      <c r="D38" s="118">
        <f>$B$34/F10</f>
        <v>0.76409978824020619</v>
      </c>
      <c r="E38" s="118">
        <f>B34/F8</f>
        <v>2.5933083722091848</v>
      </c>
      <c r="F38" s="118">
        <f>B34/(F7+0.5*F8)</f>
        <v>0.89611702914034652</v>
      </c>
      <c r="G38" s="119">
        <f>MAX($B$34,($F$7+0.5*$F$8))</f>
        <v>95500000</v>
      </c>
    </row>
    <row r="39" spans="1:7" ht="18" customHeight="1" x14ac:dyDescent="0.45">
      <c r="A39" s="189" t="s">
        <v>193</v>
      </c>
      <c r="B39" s="190"/>
      <c r="C39" s="118">
        <f>C38^3*$B$32+(1-C38^3)*$B$36</f>
        <v>10613163260.57221</v>
      </c>
      <c r="D39" s="118">
        <f>D38^3*$B$32+(1-D38^3)*$B$36</f>
        <v>5159061700.9421597</v>
      </c>
      <c r="E39" s="118">
        <f>$B$32*($B$34/E38)^3+(1-($B$34/E38)^3)*$B$36</f>
        <v>2.3754948827863511E+32</v>
      </c>
      <c r="F39" s="118">
        <f>$B$32*($B$34/F38)^3+(1-($B$34/F38)^3)*$B$36</f>
        <v>5.7573468515789508E+33</v>
      </c>
      <c r="G39" s="119">
        <f>$B$32*($B$34/G38)^3+(1-($B$34/G38)^3)*$B$36</f>
        <v>6966852680.8560352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1.4758717096518188</v>
      </c>
      <c r="D40" s="110">
        <f>(5/48)*$F$10*$B$10^2/($F$31*$C$39)</f>
        <v>2.0923750820380218</v>
      </c>
      <c r="E40" s="110">
        <f>D40-C40</f>
        <v>0.61650337238620301</v>
      </c>
      <c r="F40" s="110">
        <f>(5/48)*(F7+0.5*F8)*$B$10^2/($F$31*$C$39)</f>
        <v>1.7841233958449203</v>
      </c>
      <c r="G40" s="112">
        <f>F40-C40</f>
        <v>0.3082516861931015</v>
      </c>
    </row>
    <row r="41" spans="1:7" ht="18" customHeight="1" x14ac:dyDescent="0.45">
      <c r="A41" s="94" t="s">
        <v>195</v>
      </c>
      <c r="B41" s="110">
        <f>E40+(C40*F34)+(G40*F35)</f>
        <v>4.1230998268374233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29.166666666666668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sheetPr codeName="Sheet44">
    <tabColor rgb="FF002060"/>
  </sheetPr>
  <dimension ref="A1:R51"/>
  <sheetViews>
    <sheetView view="pageLayout" zoomScaleNormal="100" workbookViewId="0">
      <selection activeCell="H2" sqref="H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213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800*10^6</f>
        <v>800000000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423*10^6</f>
        <v>423000000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248*10^6</f>
        <v>248000000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80*10^6</f>
        <v>80000000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v>445000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9800</v>
      </c>
      <c r="C10" s="98" t="s">
        <v>36</v>
      </c>
      <c r="E10" s="96" t="s">
        <v>139</v>
      </c>
      <c r="F10" s="99">
        <f>F7+F8</f>
        <v>328000000</v>
      </c>
      <c r="G10" s="97" t="s">
        <v>123</v>
      </c>
      <c r="J10" s="85" t="s">
        <v>140</v>
      </c>
      <c r="K10" s="85">
        <f>B8*B12</f>
        <v>345600</v>
      </c>
    </row>
    <row r="11" spans="1:17" ht="18" customHeight="1" x14ac:dyDescent="0.45">
      <c r="A11" s="94" t="s">
        <v>141</v>
      </c>
      <c r="B11" s="95">
        <f>40+60</f>
        <v>100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576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4.4653063557384547</v>
      </c>
      <c r="C15" s="110">
        <f>$F$6/($F$11*B8*B12^2)</f>
        <v>2.361030735596708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1.2678779211427542E-2</v>
      </c>
      <c r="C16" s="114">
        <f>0.85*$B$5/$B$6*(1-SQRT(1-(2*C15/(0.85*$B$5))))</f>
        <v>6.3635952439996006E-3</v>
      </c>
      <c r="E16" s="96" t="s">
        <v>151</v>
      </c>
      <c r="F16" s="110">
        <f>B22*$B$6/(0.85*$B$5*$B$8)</f>
        <v>125.56514637406733</v>
      </c>
      <c r="G16" s="112">
        <f>C22*$B$6/(0.85*$B$5*$B$8)</f>
        <v>78.478216483792082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147.72370161654979</v>
      </c>
      <c r="G17" s="112">
        <f>G16/G15</f>
        <v>92.327313510343629</v>
      </c>
    </row>
    <row r="18" spans="1:18" ht="18" customHeight="1" x14ac:dyDescent="0.45">
      <c r="A18" s="94" t="s">
        <v>154</v>
      </c>
      <c r="B18" s="113">
        <f>MAX(B16:B17)</f>
        <v>1.2678779211427542E-2</v>
      </c>
      <c r="C18" s="114">
        <f>MAX(C16:C17)</f>
        <v>6.3635952439996006E-3</v>
      </c>
      <c r="E18" s="96" t="s">
        <v>155</v>
      </c>
      <c r="F18" s="115">
        <f>0.003*($B$12-F17)/F17</f>
        <v>8.6975135410931829E-3</v>
      </c>
      <c r="G18" s="116">
        <f>0.003*($B$12-G17)/G17</f>
        <v>1.5716021665749091E-2</v>
      </c>
    </row>
    <row r="19" spans="1:18" ht="18" customHeight="1" x14ac:dyDescent="0.45">
      <c r="A19" s="94" t="s">
        <v>156</v>
      </c>
      <c r="B19" s="110">
        <f>$K$10*B18</f>
        <v>4381.7860954693588</v>
      </c>
      <c r="C19" s="117">
        <f>$K$10*C18</f>
        <v>2199.258516326262</v>
      </c>
      <c r="E19" s="96" t="s">
        <v>157</v>
      </c>
      <c r="F19" s="118">
        <f>B22*$B$6*($B$12-F16/2)</f>
        <v>985965986.18823218</v>
      </c>
      <c r="G19" s="119">
        <f>C22*$B$6*($B$12-G16/2)</f>
        <v>644497773.19041431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887369387.56940901</v>
      </c>
      <c r="G20" s="119">
        <f>$F$11*G19</f>
        <v>580047995.87137294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5</v>
      </c>
      <c r="E21" s="96" t="s">
        <v>76</v>
      </c>
      <c r="F21" s="120">
        <f>F20/F5</f>
        <v>1.1092117344617614</v>
      </c>
      <c r="G21" s="121">
        <f>G20/F6</f>
        <v>1.3712718578519454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4926.0172808287953</v>
      </c>
      <c r="C22" s="123">
        <f>C20^2*PI()/4*C21</f>
        <v>3078.7608005179973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241348.46773907641</v>
      </c>
      <c r="C24" s="85" t="s">
        <v>136</v>
      </c>
      <c r="E24" s="96" t="s">
        <v>169</v>
      </c>
      <c r="F24" s="99">
        <f>F9</f>
        <v>445000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120674.23386953821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203651.53226092359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157.07963267948966</v>
      </c>
      <c r="C28" s="85" t="s">
        <v>175</v>
      </c>
      <c r="E28" s="96" t="s">
        <v>176</v>
      </c>
      <c r="F28" s="111">
        <f>MIN((B28*B7/(B8*0.062*SQRT(B5))),(B28*B7/(0.345*B8)),B12/2,600)</f>
        <v>288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129.95127618255808</v>
      </c>
      <c r="C29" s="104" t="s">
        <v>36</v>
      </c>
      <c r="D29" s="104"/>
      <c r="E29" s="105" t="s">
        <v>178</v>
      </c>
      <c r="F29" s="128">
        <f>MIN(B29,F28)</f>
        <v>129.95127618255808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9555148800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92708963.817389145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178.11211473445118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4916852767.4052687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0.3738264670056014</v>
      </c>
      <c r="D38" s="118">
        <f>$B$34/F10</f>
        <v>0.28264927993106448</v>
      </c>
      <c r="E38" s="118">
        <f>B34/F8</f>
        <v>1.1588620477173643</v>
      </c>
      <c r="F38" s="118">
        <f>B34/(F7+0.5*F8)</f>
        <v>0.32190612436593452</v>
      </c>
      <c r="G38" s="119">
        <f>MAX($B$34,($F$7+0.5*$F$8))</f>
        <v>288000000</v>
      </c>
    </row>
    <row r="39" spans="1:7" ht="18" customHeight="1" x14ac:dyDescent="0.45">
      <c r="A39" s="189" t="s">
        <v>193</v>
      </c>
      <c r="B39" s="190"/>
      <c r="C39" s="118">
        <f>C38^3*$B$32+(1-C38^3)*$B$36</f>
        <v>5159161241.2617092</v>
      </c>
      <c r="D39" s="118">
        <f>D38^3*$B$32+(1-D38^3)*$B$36</f>
        <v>5021590245.7450666</v>
      </c>
      <c r="E39" s="118">
        <f>$B$32*($B$34/E38)^3+(1-($B$34/E38)^3)*$B$36</f>
        <v>2.3748075686885024E+33</v>
      </c>
      <c r="F39" s="118">
        <f>$B$32*($B$34/F38)^3+(1-($B$34/F38)^3)*$B$36</f>
        <v>1.1079902192473075E+35</v>
      </c>
      <c r="G39" s="119">
        <f>$B$32*($B$34/G38)^3+(1-($B$34/G38)^3)*$B$36</f>
        <v>5071572669.3397942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18.680780290334319</v>
      </c>
      <c r="D40" s="110">
        <f>(5/48)*$F$10*$B$10^2/($F$31*$C$39)</f>
        <v>24.706838448506684</v>
      </c>
      <c r="E40" s="110">
        <f>D40-C40</f>
        <v>6.0260581581723649</v>
      </c>
      <c r="F40" s="110">
        <f>(5/48)*(F7+0.5*F8)*$B$10^2/($F$31*$C$39)</f>
        <v>21.693809369420499</v>
      </c>
      <c r="G40" s="112">
        <f>F40-C40</f>
        <v>3.0130290790861807</v>
      </c>
    </row>
    <row r="41" spans="1:7" ht="18" customHeight="1" x14ac:dyDescent="0.45">
      <c r="A41" s="94" t="s">
        <v>195</v>
      </c>
      <c r="B41" s="110">
        <f>E40+(C40*F34)+(G40*F35)</f>
        <v>48.811071081196125</v>
      </c>
      <c r="C41" s="85" t="s">
        <v>36</v>
      </c>
      <c r="D41" s="191" t="str">
        <f>IF(B42&gt;B41,"OK","NO")</f>
        <v>NO</v>
      </c>
      <c r="G41" s="97"/>
    </row>
    <row r="42" spans="1:7" ht="18" customHeight="1" thickBot="1" x14ac:dyDescent="0.5">
      <c r="A42" s="130" t="s">
        <v>196</v>
      </c>
      <c r="B42" s="131">
        <f>$B$10/240</f>
        <v>40.833333333333336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 codeName="Sheet47"/>
  <dimension ref="A1:R51"/>
  <sheetViews>
    <sheetView view="pageLayout" topLeftCell="B16" zoomScaleNormal="100" workbookViewId="0">
      <selection activeCell="A4" sqref="A4:D4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213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804*10^6</f>
        <v>804000000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417*10^6</f>
        <v>417000000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246*10^6</f>
        <v>246000000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78*10^6</f>
        <v>78000000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v>450000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9800</v>
      </c>
      <c r="C10" s="98" t="s">
        <v>36</v>
      </c>
      <c r="E10" s="96" t="s">
        <v>139</v>
      </c>
      <c r="F10" s="99">
        <f>F7+F8</f>
        <v>324000000</v>
      </c>
      <c r="G10" s="97" t="s">
        <v>123</v>
      </c>
      <c r="J10" s="85" t="s">
        <v>140</v>
      </c>
      <c r="K10" s="85">
        <f>B8*B12</f>
        <v>360600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IF(D12=2,B9-B11-B27-(C20/2)-(2.5*C20/2),B9-B11-B27-(C20/2))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4.1220508494962331</v>
      </c>
      <c r="C15" s="110">
        <f>$F$6/($F$11*B8*B12^2)</f>
        <v>2.1379293585073746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1.1597993429408458E-2</v>
      </c>
      <c r="C16" s="114">
        <f>0.85*$B$5/$B$6*(1-SQRT(1-(2*C15/(0.85*$B$5))))</f>
        <v>5.7332282565753347E-3</v>
      </c>
      <c r="E16" s="96" t="s">
        <v>151</v>
      </c>
      <c r="F16" s="110">
        <f>B22*$B$6/(0.85*$B$5*$B$8)</f>
        <v>125.56514637406733</v>
      </c>
      <c r="G16" s="112">
        <f>C22*$B$6/(0.85*$B$5*$B$8)</f>
        <v>94.173859780550501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147.72370161654979</v>
      </c>
      <c r="G17" s="112">
        <f>G16/G15</f>
        <v>110.79277621241236</v>
      </c>
    </row>
    <row r="18" spans="1:18" ht="18" customHeight="1" x14ac:dyDescent="0.45">
      <c r="A18" s="94" t="s">
        <v>154</v>
      </c>
      <c r="B18" s="113">
        <f>MAX(B16:B17)</f>
        <v>1.1597993429408458E-2</v>
      </c>
      <c r="C18" s="114">
        <f>MAX(C16:C17)</f>
        <v>5.7332282565753347E-3</v>
      </c>
      <c r="E18" s="96" t="s">
        <v>155</v>
      </c>
      <c r="F18" s="115">
        <f>0.003*($B$12-F17)/F17</f>
        <v>9.2052181218697966E-3</v>
      </c>
      <c r="G18" s="116">
        <f>0.003*($B$12-G17)/G17</f>
        <v>1.3273624162493058E-2</v>
      </c>
    </row>
    <row r="19" spans="1:18" ht="18" customHeight="1" x14ac:dyDescent="0.45">
      <c r="A19" s="94" t="s">
        <v>156</v>
      </c>
      <c r="B19" s="110">
        <f>$K$10*B18</f>
        <v>4182.2364306446898</v>
      </c>
      <c r="C19" s="117">
        <f>$K$10*C18</f>
        <v>2067.4021093210658</v>
      </c>
      <c r="E19" s="96" t="s">
        <v>157</v>
      </c>
      <c r="F19" s="118">
        <f>B22*$B$6*($B$12-F16/2)</f>
        <v>1033994654.676313</v>
      </c>
      <c r="G19" s="119">
        <f>C22*$B$6*($B$12-G16/2)</f>
        <v>798111216.46545017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930595189.2086817</v>
      </c>
      <c r="G20" s="119">
        <f>$F$11*G19</f>
        <v>718300094.81890512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6</v>
      </c>
      <c r="E21" s="96" t="s">
        <v>76</v>
      </c>
      <c r="F21" s="120">
        <f>F20/F5</f>
        <v>1.1574567029958727</v>
      </c>
      <c r="G21" s="121">
        <f>G20/F6</f>
        <v>1.722542193810324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4926.0172808287953</v>
      </c>
      <c r="C22" s="123">
        <f>C20^2*PI()/4*C21</f>
        <v>3694.5129606215964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251823.66165136269</v>
      </c>
      <c r="C24" s="85" t="s">
        <v>136</v>
      </c>
      <c r="E24" s="96" t="s">
        <v>169</v>
      </c>
      <c r="F24" s="99">
        <f>F9</f>
        <v>450000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125911.83082568135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198176.33834863731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3*B27^2*PI()/4</f>
        <v>235.61944901923448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209.00644515313596</v>
      </c>
      <c r="C29" s="104" t="s">
        <v>36</v>
      </c>
      <c r="D29" s="104"/>
      <c r="E29" s="105" t="s">
        <v>178</v>
      </c>
      <c r="F29" s="128">
        <f>MIN(B29,F28)</f>
        <v>209.00644515313596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10854090050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105311959.31937066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196.68223581051228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6213863878.3503876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0.42809739560719778</v>
      </c>
      <c r="D38" s="118">
        <f>$B$34/F10</f>
        <v>0.32503691147953906</v>
      </c>
      <c r="E38" s="118">
        <f>B34/F8</f>
        <v>1.3501533246073161</v>
      </c>
      <c r="F38" s="118">
        <f>B34/(F7+0.5*F8)</f>
        <v>0.36951564673463388</v>
      </c>
      <c r="G38" s="119">
        <f>MAX($B$34,($F$7+0.5*$F$8))</f>
        <v>285000000</v>
      </c>
    </row>
    <row r="39" spans="1:7" ht="18" customHeight="1" x14ac:dyDescent="0.45">
      <c r="A39" s="189" t="s">
        <v>193</v>
      </c>
      <c r="B39" s="190"/>
      <c r="C39" s="118">
        <f>C38^3*$B$32+(1-C38^3)*$B$36</f>
        <v>6577918799.8688965</v>
      </c>
      <c r="D39" s="118">
        <f>D38^3*$B$32+(1-D38^3)*$B$36</f>
        <v>6373208422.1570816</v>
      </c>
      <c r="E39" s="118">
        <f>$B$32*($B$34/E38)^3+(1-($B$34/E38)^3)*$B$36</f>
        <v>2.2020286102086673E+33</v>
      </c>
      <c r="F39" s="118">
        <f>$B$32*($B$34/F38)^3+(1-($B$34/F38)^3)*$B$36</f>
        <v>1.0741717567578834E+35</v>
      </c>
      <c r="G39" s="119">
        <f>$B$32*($B$34/G38)^3+(1-($B$34/G38)^3)*$B$36</f>
        <v>6447983410.6061888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14.533460414583267</v>
      </c>
      <c r="D40" s="110">
        <f>(5/48)*$F$10*$B$10^2/($F$31*$C$39)</f>
        <v>19.141630789938937</v>
      </c>
      <c r="E40" s="110">
        <f>D40-C40</f>
        <v>4.6081703753556695</v>
      </c>
      <c r="F40" s="110">
        <f>(5/48)*(F7+0.5*F8)*$B$10^2/($F$31*$C$39)</f>
        <v>16.837545602261102</v>
      </c>
      <c r="G40" s="112">
        <f>F40-C40</f>
        <v>2.3040851876778348</v>
      </c>
    </row>
    <row r="41" spans="1:7" ht="18" customHeight="1" x14ac:dyDescent="0.45">
      <c r="A41" s="94" t="s">
        <v>195</v>
      </c>
      <c r="B41" s="110">
        <f>E40+(C40*F34)+(G40*F35)</f>
        <v>37.822444542342303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40.833333333333336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 codeName="Sheet45"/>
  <dimension ref="A1:R51"/>
  <sheetViews>
    <sheetView topLeftCell="A19" zoomScaleNormal="100" zoomScalePageLayoutView="70" workbookViewId="0">
      <selection activeCell="D9" sqref="D9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215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297*10^6</f>
        <v>297000000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148*10^6</f>
        <v>148000000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93*10^6</f>
        <v>93000000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24*10^6</f>
        <v>24000000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475</v>
      </c>
      <c r="C9" s="98" t="s">
        <v>36</v>
      </c>
      <c r="E9" s="96" t="s">
        <v>135</v>
      </c>
      <c r="F9" s="95">
        <f>221*10^3</f>
        <v>221000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99">
        <f>F7+F8</f>
        <v>117000000</v>
      </c>
      <c r="G10" s="97" t="s">
        <v>123</v>
      </c>
      <c r="J10" s="85" t="s">
        <v>140</v>
      </c>
      <c r="K10" s="85">
        <f>B8*B12</f>
        <v>235200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392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3.57923781757601</v>
      </c>
      <c r="C15" s="110">
        <f>$F$6/($F$11*B8*B12^2)</f>
        <v>1.7835932558964629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9.9318515598706726E-3</v>
      </c>
      <c r="C16" s="114">
        <f>0.85*$B$5/$B$6*(1-SQRT(1-(2*C15/(0.85*$B$5))))</f>
        <v>4.7455280870703108E-3</v>
      </c>
      <c r="E16" s="96" t="s">
        <v>151</v>
      </c>
      <c r="F16" s="110">
        <f>B22*$B$6/(0.85*$B$5*$B$8)</f>
        <v>80.079812738563362</v>
      </c>
      <c r="G16" s="112">
        <f>C22*$B$6/(0.85*$B$5*$B$8)</f>
        <v>80.079812738563362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94.21154439830984</v>
      </c>
      <c r="G17" s="112">
        <f>G16/G15</f>
        <v>94.21154439830984</v>
      </c>
    </row>
    <row r="18" spans="1:18" ht="18" customHeight="1" x14ac:dyDescent="0.45">
      <c r="A18" s="94" t="s">
        <v>154</v>
      </c>
      <c r="B18" s="113">
        <f>MAX(B16:B17)</f>
        <v>9.9318515598706726E-3</v>
      </c>
      <c r="C18" s="114">
        <f>MAX(C16:C17)</f>
        <v>4.7455280870703108E-3</v>
      </c>
      <c r="E18" s="96" t="s">
        <v>155</v>
      </c>
      <c r="F18" s="115">
        <f>0.003*($B$12-F17)/F17</f>
        <v>9.482546672073211E-3</v>
      </c>
      <c r="G18" s="116">
        <f>0.003*($B$12-G17)/G17</f>
        <v>9.482546672073211E-3</v>
      </c>
    </row>
    <row r="19" spans="1:18" ht="18" customHeight="1" x14ac:dyDescent="0.45">
      <c r="A19" s="94" t="s">
        <v>156</v>
      </c>
      <c r="B19" s="110">
        <f>$K$10*B18</f>
        <v>2335.9714868815822</v>
      </c>
      <c r="C19" s="117">
        <f>$K$10*C18</f>
        <v>1116.1482060789372</v>
      </c>
      <c r="E19" s="96" t="s">
        <v>157</v>
      </c>
      <c r="F19" s="118">
        <f>B22*$B$6*($B$12-F16/2)</f>
        <v>431228945.35774589</v>
      </c>
      <c r="G19" s="119">
        <f>C22*$B$6*($B$12-G16/2)</f>
        <v>431228945.35774589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388106050.8219713</v>
      </c>
      <c r="G20" s="119">
        <f>$F$11*G19</f>
        <v>388106050.8219713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10</v>
      </c>
      <c r="E21" s="96" t="s">
        <v>76</v>
      </c>
      <c r="F21" s="120">
        <f>F20/F5</f>
        <v>1.3067543798719572</v>
      </c>
      <c r="G21" s="121">
        <f>G20/F6</f>
        <v>2.6223381812295359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3141.5926535897934</v>
      </c>
      <c r="C22" s="123">
        <f>C20^2*PI()/4*C21</f>
        <v>3141.5926535897934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164251.04054464921</v>
      </c>
      <c r="C24" s="85" t="s">
        <v>136</v>
      </c>
      <c r="E24" s="96" t="s">
        <v>169</v>
      </c>
      <c r="F24" s="99">
        <f>F9</f>
        <v>221000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82125.520272324604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56748.959455350792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251.32741228718345</v>
      </c>
      <c r="C28" s="85" t="s">
        <v>175</v>
      </c>
      <c r="E28" s="96" t="s">
        <v>176</v>
      </c>
      <c r="F28" s="111">
        <f>MIN((B28*B7/(B8*0.062*SQRT(B5))),(B28*B7/(0.345*B8)),B12/2,600)</f>
        <v>196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286.45207212169032</v>
      </c>
      <c r="C29" s="104" t="s">
        <v>36</v>
      </c>
      <c r="D29" s="104"/>
      <c r="E29" s="105" t="s">
        <v>178</v>
      </c>
      <c r="F29" s="128">
        <f>MIN(B29,F28)</f>
        <v>196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3011814400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237.5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43064252.01083412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142.47970359896436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2098094357.2957854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0.4630564732347755</v>
      </c>
      <c r="D38" s="118">
        <f>$B$34/F10</f>
        <v>0.36807053000712925</v>
      </c>
      <c r="E38" s="118">
        <f>B34/F8</f>
        <v>1.794343833784755</v>
      </c>
      <c r="F38" s="118">
        <f>B34/(F7+0.5*F8)</f>
        <v>0.41013573343651544</v>
      </c>
      <c r="G38" s="119">
        <f>MAX($B$34,($F$7+0.5*$F$8))</f>
        <v>105000000</v>
      </c>
    </row>
    <row r="39" spans="1:7" ht="18" customHeight="1" x14ac:dyDescent="0.45">
      <c r="A39" s="189" t="s">
        <v>193</v>
      </c>
      <c r="B39" s="190"/>
      <c r="C39" s="118">
        <f>C38^3*$B$32+(1-C38^3)*$B$36</f>
        <v>2188816861.7313457</v>
      </c>
      <c r="D39" s="118">
        <f>D38^3*$B$32+(1-D38^3)*$B$36</f>
        <v>2143656725.6708386</v>
      </c>
      <c r="E39" s="118">
        <f>$B$32*($B$34/E38)^3+(1-($B$34/E38)^3)*$B$36</f>
        <v>1.2631265870343067E+31</v>
      </c>
      <c r="F39" s="118">
        <f>$B$32*($B$34/F38)^3+(1-($B$34/F38)^3)*$B$36</f>
        <v>1.0577451644354663E+33</v>
      </c>
      <c r="G39" s="119">
        <f>$B$32*($B$34/G38)^3+(1-($B$34/G38)^3)*$B$36</f>
        <v>2161131421.5439434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13.926078002893929</v>
      </c>
      <c r="D40" s="110">
        <f>(5/48)*$F$10*$B$10^2/($F$31*$C$39)</f>
        <v>17.519904584285911</v>
      </c>
      <c r="E40" s="110">
        <f>D40-C40</f>
        <v>3.5938265813919816</v>
      </c>
      <c r="F40" s="110">
        <f>(5/48)*(F7+0.5*F8)*$B$10^2/($F$31*$C$39)</f>
        <v>15.722991293589919</v>
      </c>
      <c r="G40" s="112">
        <f>F40-C40</f>
        <v>1.7969132906959899</v>
      </c>
    </row>
    <row r="41" spans="1:7" ht="18" customHeight="1" x14ac:dyDescent="0.45">
      <c r="A41" s="94" t="s">
        <v>195</v>
      </c>
      <c r="B41" s="110">
        <f>E40+(C40*F34)+(G40*F35)</f>
        <v>34.680426510432625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sheetPr codeName="Sheet46"/>
  <dimension ref="A1:R51"/>
  <sheetViews>
    <sheetView topLeftCell="A22" zoomScaleNormal="100" workbookViewId="0">
      <selection activeCell="D7" sqref="D7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247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519*10^6</f>
        <v>519000000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252*10^6</f>
        <v>252000000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92*10^6</f>
        <v>92000000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110*10^6</f>
        <v>110000000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284*10^3</f>
        <v>284000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7200</v>
      </c>
      <c r="C10" s="98" t="s">
        <v>36</v>
      </c>
      <c r="E10" s="96" t="s">
        <v>139</v>
      </c>
      <c r="F10" s="99">
        <f>F7+F8</f>
        <v>202000000</v>
      </c>
      <c r="G10" s="97" t="s">
        <v>123</v>
      </c>
      <c r="J10" s="85" t="s">
        <v>140</v>
      </c>
      <c r="K10" s="85">
        <f>B8*B12</f>
        <v>370200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2.5246621549640551</v>
      </c>
      <c r="C15" s="110">
        <f>$F$6/($F$11*B8*B12^2)</f>
        <v>1.2258475203293677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6.830245201286683E-3</v>
      </c>
      <c r="C16" s="114">
        <f>0.85*$B$5/$B$6*(1-SQRT(1-(2*C15/(0.85*$B$5))))</f>
        <v>3.2226153872171111E-3</v>
      </c>
      <c r="E16" s="96" t="s">
        <v>151</v>
      </c>
      <c r="F16" s="110">
        <f>B22*$B$6/(0.85*$B$5*$B$8)</f>
        <v>72.071831464707017</v>
      </c>
      <c r="G16" s="112">
        <f>C22*$B$6/(0.85*$B$5*$B$8)</f>
        <v>40.039906369281681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47.10577219915492</v>
      </c>
    </row>
    <row r="18" spans="1:18" ht="18" customHeight="1" x14ac:dyDescent="0.45">
      <c r="A18" s="94" t="s">
        <v>154</v>
      </c>
      <c r="B18" s="113">
        <f>MAX(B16:B17)</f>
        <v>6.830245201286683E-3</v>
      </c>
      <c r="C18" s="114">
        <f>MAX(C16:C17)</f>
        <v>3.5897435897435893E-3</v>
      </c>
      <c r="E18" s="96" t="s">
        <v>155</v>
      </c>
      <c r="F18" s="115">
        <f>0.003*($B$12-F17)/F17</f>
        <v>1.8830304128880874E-2</v>
      </c>
      <c r="G18" s="116">
        <f>0.003*($B$12-G17)/G17</f>
        <v>3.6294547431985569E-2</v>
      </c>
    </row>
    <row r="19" spans="1:18" ht="18" customHeight="1" x14ac:dyDescent="0.45">
      <c r="A19" s="94" t="s">
        <v>156</v>
      </c>
      <c r="B19" s="110">
        <f>$K$10*B18</f>
        <v>2528.5567735163299</v>
      </c>
      <c r="C19" s="117">
        <f>$K$10*C18</f>
        <v>1328.9230769230767</v>
      </c>
      <c r="E19" s="96" t="s">
        <v>157</v>
      </c>
      <c r="F19" s="118">
        <f>B22*$B$6*($B$12-F16/2)</f>
        <v>640628527.19630063</v>
      </c>
      <c r="G19" s="119">
        <f>C22*$B$6*($B$12-G16/2)</f>
        <v>365716285.23589057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576565674.47667062</v>
      </c>
      <c r="G20" s="119">
        <f>$F$11*G19</f>
        <v>329144656.71230149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9</v>
      </c>
      <c r="C21" s="95">
        <v>5</v>
      </c>
      <c r="E21" s="96" t="s">
        <v>76</v>
      </c>
      <c r="F21" s="120">
        <f>F20/F5</f>
        <v>1.1109165211496543</v>
      </c>
      <c r="G21" s="121">
        <f>G20/F6</f>
        <v>1.3061295901281804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2827.4333882308138</v>
      </c>
      <c r="C22" s="123">
        <f>C20^2*PI()/4*C21</f>
        <v>1570.7963267948967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284000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25472.214244774077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4*B27^2*PI()/4</f>
        <v>201.06192982974676</v>
      </c>
      <c r="C28" s="85" t="s">
        <v>175</v>
      </c>
      <c r="E28" s="96" t="s">
        <v>176</v>
      </c>
      <c r="F28" s="111">
        <f>MIN((B28*B7/(B8*0.062*SQRT(B5))),(B28*B7/(0.345*B8)),B12/2,600)</f>
        <v>213.68900754852316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803.58580410875925</v>
      </c>
      <c r="C29" s="104" t="s">
        <v>36</v>
      </c>
      <c r="D29" s="104"/>
      <c r="E29" s="105" t="s">
        <v>178</v>
      </c>
      <c r="F29" s="128">
        <f>MIN(B29,F28)</f>
        <v>213.68900754852316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139.38724226753476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3325458760.7647657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1.2385739500558226</v>
      </c>
      <c r="D38" s="118">
        <f>$B$34/F10</f>
        <v>0.56410298715413698</v>
      </c>
      <c r="E38" s="118">
        <f>B34/F8</f>
        <v>1.0358982127739607</v>
      </c>
      <c r="F38" s="118">
        <f>B34/(F7+0.5*F8)</f>
        <v>0.77516192792609306</v>
      </c>
      <c r="G38" s="119">
        <f>MAX($B$34,($F$7+0.5*$F$8))</f>
        <v>147000000</v>
      </c>
    </row>
    <row r="39" spans="1:7" ht="18" customHeight="1" x14ac:dyDescent="0.45">
      <c r="A39" s="189" t="s">
        <v>193</v>
      </c>
      <c r="B39" s="190"/>
      <c r="C39" s="118">
        <f>C38^3*$B$32+(1-C38^3)*$B$36</f>
        <v>19321623078.965893</v>
      </c>
      <c r="D39" s="118">
        <f>D38^3*$B$32+(1-D38^3)*$B$36</f>
        <v>4836670193.2261772</v>
      </c>
      <c r="E39" s="118">
        <f>$B$32*($B$34/E38)^3+(1-($B$34/E38)^3)*$B$36</f>
        <v>1.1205418659572098E+34</v>
      </c>
      <c r="F39" s="118">
        <f>$B$32*($B$34/F38)^3+(1-($B$34/F38)^3)*$B$36</f>
        <v>2.6742501950984172E+34</v>
      </c>
      <c r="G39" s="119">
        <f>$B$32*($B$34/G38)^3+(1-($B$34/G38)^3)*$B$36</f>
        <v>7246734067.322093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0.99880221343769049</v>
      </c>
      <c r="D40" s="110">
        <f>(5/48)*$F$10*$B$10^2/($F$31*$C$39)</f>
        <v>2.1930222512436246</v>
      </c>
      <c r="E40" s="110">
        <f>D40-C40</f>
        <v>1.194220037805934</v>
      </c>
      <c r="F40" s="110">
        <f>(5/48)*(F7+0.5*F8)*$B$10^2/($F$31*$C$39)</f>
        <v>1.5959122323406574</v>
      </c>
      <c r="G40" s="112">
        <f>F40-C40</f>
        <v>0.59711001890296689</v>
      </c>
    </row>
    <row r="41" spans="1:7" ht="18" customHeight="1" x14ac:dyDescent="0.45">
      <c r="A41" s="94" t="s">
        <v>195</v>
      </c>
      <c r="B41" s="110">
        <f>E40+(C40*F34)+(G40*F35)</f>
        <v>4.2666224987066554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30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 codeName="Sheet69"/>
  <dimension ref="A1:R51"/>
  <sheetViews>
    <sheetView zoomScaleNormal="100" zoomScalePageLayoutView="70" workbookViewId="0">
      <selection activeCell="D21" sqref="D21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215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10*10^6</f>
        <v>10000000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206*10^6</f>
        <v>206000000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128*10^6</f>
        <v>128000000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33*10^6</f>
        <v>33000000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475</v>
      </c>
      <c r="C9" s="98" t="s">
        <v>36</v>
      </c>
      <c r="E9" s="96" t="s">
        <v>135</v>
      </c>
      <c r="F9" s="95">
        <f>90*10^3</f>
        <v>90000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8000</v>
      </c>
      <c r="C10" s="98" t="s">
        <v>36</v>
      </c>
      <c r="E10" s="96" t="s">
        <v>139</v>
      </c>
      <c r="F10" s="99">
        <f>F7+F8</f>
        <v>161000000</v>
      </c>
      <c r="G10" s="97" t="s">
        <v>123</v>
      </c>
      <c r="J10" s="85" t="s">
        <v>140</v>
      </c>
      <c r="K10" s="85">
        <f>B8*B12</f>
        <v>235200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392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0.12051305783084208</v>
      </c>
      <c r="C15" s="110">
        <f>$F$6/($F$11*B8*B12^2)</f>
        <v>2.4825689913153468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3.097414978515409E-4</v>
      </c>
      <c r="C16" s="114">
        <f>0.85*$B$5/$B$6*(1-SQRT(1-(2*C15/(0.85*$B$5))))</f>
        <v>6.709847842619277E-3</v>
      </c>
      <c r="E16" s="96" t="s">
        <v>151</v>
      </c>
      <c r="F16" s="110">
        <f>B22*$B$6/(0.85*$B$5*$B$8)</f>
        <v>80.079812738563362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94.21154439830984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3.5897435897435893E-3</v>
      </c>
      <c r="C18" s="114">
        <f>MAX(C16:C17)</f>
        <v>6.709847842619277E-3</v>
      </c>
      <c r="E18" s="96" t="s">
        <v>155</v>
      </c>
      <c r="F18" s="115">
        <f>0.003*($B$12-F17)/F17</f>
        <v>9.482546672073211E-3</v>
      </c>
      <c r="G18" s="116">
        <f>0.003*($B$12-G17)/G17</f>
        <v>1.780424445345535E-2</v>
      </c>
    </row>
    <row r="19" spans="1:18" ht="18" customHeight="1" x14ac:dyDescent="0.45">
      <c r="A19" s="94" t="s">
        <v>156</v>
      </c>
      <c r="B19" s="110">
        <f>$K$10*B18</f>
        <v>844.30769230769215</v>
      </c>
      <c r="C19" s="117">
        <f>$K$10*C18</f>
        <v>1578.1562125840539</v>
      </c>
      <c r="E19" s="96" t="s">
        <v>157</v>
      </c>
      <c r="F19" s="118">
        <f>B22*$B$6*($B$12-F16/2)</f>
        <v>431228945.35774589</v>
      </c>
      <c r="G19" s="119">
        <f>C22*$B$6*($B$12-G16/2)</f>
        <v>270511224.70018232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388106050.8219713</v>
      </c>
      <c r="G20" s="119">
        <f>$F$11*G19</f>
        <v>243460102.23016408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6</v>
      </c>
      <c r="E21" s="96" t="s">
        <v>76</v>
      </c>
      <c r="F21" s="120">
        <f>F20/F5</f>
        <v>38.810605082197128</v>
      </c>
      <c r="G21" s="121">
        <f>G20/F6</f>
        <v>1.1818451564571071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3141.5926535897934</v>
      </c>
      <c r="C22" s="123">
        <f>C20^2*PI()/4*C21</f>
        <v>1884.9555921538758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164251.04054464921</v>
      </c>
      <c r="C24" s="85" t="s">
        <v>136</v>
      </c>
      <c r="E24" s="96" t="s">
        <v>169</v>
      </c>
      <c r="F24" s="99">
        <f>F9</f>
        <v>90000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82125.520272324604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251.32741228718345</v>
      </c>
      <c r="C28" s="85" t="s">
        <v>175</v>
      </c>
      <c r="E28" s="96" t="s">
        <v>176</v>
      </c>
      <c r="F28" s="111">
        <f>MIN((B28*B7/(B8*0.062*SQRT(B5))),(B28*B7/(0.345*B8)),B12/2,600)</f>
        <v>196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196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3011814400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237.5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43064252.01083412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116.06010004898785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1427733408.8319988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0.33643946883464154</v>
      </c>
      <c r="D38" s="118">
        <f>$B$34/F10</f>
        <v>0.2674798261542492</v>
      </c>
      <c r="E38" s="118">
        <f>B34/F8</f>
        <v>1.3049773336616399</v>
      </c>
      <c r="F38" s="118">
        <f>B34/(F7+0.5*F8)</f>
        <v>0.29802250526528801</v>
      </c>
      <c r="G38" s="119">
        <f>MAX($B$34,($F$7+0.5*$F$8))</f>
        <v>144500000</v>
      </c>
    </row>
    <row r="39" spans="1:7" ht="18" customHeight="1" x14ac:dyDescent="0.45">
      <c r="A39" s="189" t="s">
        <v>193</v>
      </c>
      <c r="B39" s="190"/>
      <c r="C39" s="118">
        <f>C38^3*$B$32+(1-C38^3)*$B$36</f>
        <v>1488058529.3814425</v>
      </c>
      <c r="D39" s="118">
        <f>D38^3*$B$32+(1-D38^3)*$B$36</f>
        <v>1458047913.704905</v>
      </c>
      <c r="E39" s="118">
        <f>$B$32*($B$34/E38)^3+(1-($B$34/E38)^3)*$B$36</f>
        <v>5.692711857960447E+31</v>
      </c>
      <c r="F39" s="118">
        <f>$B$32*($B$34/F38)^3+(1-($B$34/F38)^3)*$B$36</f>
        <v>4.7794830282382522E+33</v>
      </c>
      <c r="G39" s="119">
        <f>$B$32*($B$34/G38)^3+(1-($B$34/G38)^3)*$B$36</f>
        <v>1469663380.2257233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22.276154008597366</v>
      </c>
      <c r="D40" s="110">
        <f>(5/48)*$F$10*$B$10^2/($F$31*$C$39)</f>
        <v>28.019224963938875</v>
      </c>
      <c r="E40" s="110">
        <f>D40-C40</f>
        <v>5.7430709553415085</v>
      </c>
      <c r="F40" s="110">
        <f>(5/48)*(F7+0.5*F8)*$B$10^2/($F$31*$C$39)</f>
        <v>25.147689486268121</v>
      </c>
      <c r="G40" s="112">
        <f>F40-C40</f>
        <v>2.8715354776707542</v>
      </c>
    </row>
    <row r="41" spans="1:7" ht="18" customHeight="1" x14ac:dyDescent="0.45">
      <c r="A41" s="94" t="s">
        <v>195</v>
      </c>
      <c r="B41" s="110">
        <f>E40+(C40*F34)+(G40*F35)</f>
        <v>55.464142832343597</v>
      </c>
      <c r="C41" s="85" t="s">
        <v>36</v>
      </c>
      <c r="D41" s="191" t="str">
        <f>IF(B42&gt;B41,"OK","NO")</f>
        <v>NO</v>
      </c>
      <c r="G41" s="97"/>
    </row>
    <row r="42" spans="1:7" ht="18" customHeight="1" thickBot="1" x14ac:dyDescent="0.5">
      <c r="A42" s="130" t="s">
        <v>196</v>
      </c>
      <c r="B42" s="131">
        <f>$B$10/240</f>
        <v>33.333333333333336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sheetPr codeName="Sheet48"/>
  <dimension ref="A1:R51"/>
  <sheetViews>
    <sheetView view="pageLayout" topLeftCell="A10" zoomScaleNormal="100" workbookViewId="0">
      <selection activeCell="C21" sqref="C21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248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586*10^6</f>
        <v>586000000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304*10^6</f>
        <v>304000000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187*10^6</f>
        <v>187000000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60*10^6</f>
        <v>60000000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336*10^3</f>
        <v>336000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9300</v>
      </c>
      <c r="C10" s="98" t="s">
        <v>36</v>
      </c>
      <c r="E10" s="96" t="s">
        <v>139</v>
      </c>
      <c r="F10" s="99">
        <f>F7+F8</f>
        <v>247000000</v>
      </c>
      <c r="G10" s="97" t="s">
        <v>123</v>
      </c>
      <c r="J10" s="85" t="s">
        <v>140</v>
      </c>
      <c r="K10" s="85">
        <f>B8*B12</f>
        <v>370200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2.8505819321944821</v>
      </c>
      <c r="C15" s="110">
        <f>$F$6/($F$11*B8*B12^2)</f>
        <v>1.4788001832544753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7.7709754889663789E-3</v>
      </c>
      <c r="C16" s="114">
        <f>0.85*$B$5/$B$6*(1-SQRT(1-(2*C15/(0.85*$B$5))))</f>
        <v>3.9086219487344167E-3</v>
      </c>
      <c r="E16" s="96" t="s">
        <v>151</v>
      </c>
      <c r="F16" s="110">
        <f>B22*$B$6/(0.85*$B$5*$B$8)</f>
        <v>80.079812738563362</v>
      </c>
      <c r="G16" s="112">
        <f>C22*$B$6/(0.85*$B$5*$B$8)</f>
        <v>40.039906369281681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94.21154439830984</v>
      </c>
      <c r="G17" s="112">
        <f>G16/G15</f>
        <v>47.10577219915492</v>
      </c>
    </row>
    <row r="18" spans="1:18" ht="18" customHeight="1" x14ac:dyDescent="0.45">
      <c r="A18" s="94" t="s">
        <v>154</v>
      </c>
      <c r="B18" s="113">
        <f>MAX(B16:B17)</f>
        <v>7.7709754889663789E-3</v>
      </c>
      <c r="C18" s="114">
        <f>MAX(C16:C17)</f>
        <v>3.9086219487344167E-3</v>
      </c>
      <c r="E18" s="96" t="s">
        <v>155</v>
      </c>
      <c r="F18" s="115">
        <f>0.003*($B$12-F17)/F17</f>
        <v>1.6647273715992783E-2</v>
      </c>
      <c r="G18" s="116">
        <f>0.003*($B$12-G17)/G17</f>
        <v>3.6294547431985569E-2</v>
      </c>
    </row>
    <row r="19" spans="1:18" ht="18" customHeight="1" x14ac:dyDescent="0.45">
      <c r="A19" s="94" t="s">
        <v>156</v>
      </c>
      <c r="B19" s="110">
        <f>$K$10*B18</f>
        <v>2876.8151260153536</v>
      </c>
      <c r="C19" s="117">
        <f>$K$10*C18</f>
        <v>1446.971845421481</v>
      </c>
      <c r="E19" s="96" t="s">
        <v>157</v>
      </c>
      <c r="F19" s="118">
        <f>B22*$B$6*($B$12-F16/2)</f>
        <v>706903700.71025026</v>
      </c>
      <c r="G19" s="119">
        <f>C22*$B$6*($B$12-G16/2)</f>
        <v>365716285.23589057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636213330.63922524</v>
      </c>
      <c r="G20" s="119">
        <f>$F$11*G19</f>
        <v>329144656.71230149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5</v>
      </c>
      <c r="E21" s="96" t="s">
        <v>76</v>
      </c>
      <c r="F21" s="120">
        <f>F20/F5</f>
        <v>1.0856882775413399</v>
      </c>
      <c r="G21" s="121">
        <f>G20/F6</f>
        <v>1.0827126865536234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3141.5926535897934</v>
      </c>
      <c r="C22" s="123">
        <f>C20^2*PI()/4*C21</f>
        <v>1570.7963267948967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336000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77472.214244774077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251.32741228718345</v>
      </c>
      <c r="C28" s="85" t="s">
        <v>175</v>
      </c>
      <c r="E28" s="96" t="s">
        <v>176</v>
      </c>
      <c r="F28" s="111">
        <f>MIN((B28*B7/(B8*0.062*SQRT(B5))),(B28*B7/(0.345*B8)),B12/2,600)</f>
        <v>267.11125943565395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330.26534038457089</v>
      </c>
      <c r="C29" s="104" t="s">
        <v>36</v>
      </c>
      <c r="D29" s="104"/>
      <c r="E29" s="105" t="s">
        <v>178</v>
      </c>
      <c r="F29" s="128">
        <f>MIN(B29,F28)</f>
        <v>267.11125943565395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139.38724226753476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3325458760.7647657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0.6093518898670357</v>
      </c>
      <c r="D38" s="118">
        <f>$B$34/F10</f>
        <v>0.46133118787504324</v>
      </c>
      <c r="E38" s="118">
        <f>B34/F8</f>
        <v>1.8991467234189279</v>
      </c>
      <c r="F38" s="118">
        <f>B34/(F7+0.5*F8)</f>
        <v>0.52510969311122435</v>
      </c>
      <c r="G38" s="119">
        <f>MAX($B$34,($F$7+0.5*$F$8))</f>
        <v>217000000</v>
      </c>
    </row>
    <row r="39" spans="1:7" ht="18" customHeight="1" x14ac:dyDescent="0.45">
      <c r="A39" s="189" t="s">
        <v>193</v>
      </c>
      <c r="B39" s="190"/>
      <c r="C39" s="118">
        <f>C38^3*$B$32+(1-C38^3)*$B$36</f>
        <v>5230281290.4539948</v>
      </c>
      <c r="D39" s="118">
        <f>D38^3*$B$32+(1-D38^3)*$B$36</f>
        <v>4152045586.1512766</v>
      </c>
      <c r="E39" s="118">
        <f>$B$32*($B$34/E38)^3+(1-($B$34/E38)^3)*$B$36</f>
        <v>1.8184601280748105E+33</v>
      </c>
      <c r="F39" s="118">
        <f>$B$32*($B$34/F38)^3+(1-($B$34/F38)^3)*$B$36</f>
        <v>8.6025901697631909E+34</v>
      </c>
      <c r="G39" s="119">
        <f>$B$32*($B$34/G38)^3+(1-($B$34/G38)^3)*$B$36</f>
        <v>4544448744.7877064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12.512749174587237</v>
      </c>
      <c r="D40" s="110">
        <f>(5/48)*$F$10*$B$10^2/($F$31*$C$39)</f>
        <v>16.5275350060056</v>
      </c>
      <c r="E40" s="110">
        <f>D40-C40</f>
        <v>4.0147858314183633</v>
      </c>
      <c r="F40" s="110">
        <f>(5/48)*(F7+0.5*F8)*$B$10^2/($F$31*$C$39)</f>
        <v>14.520142090296419</v>
      </c>
      <c r="G40" s="112">
        <f>F40-C40</f>
        <v>2.0073929157091825</v>
      </c>
    </row>
    <row r="41" spans="1:7" ht="18" customHeight="1" x14ac:dyDescent="0.45">
      <c r="A41" s="94" t="s">
        <v>195</v>
      </c>
      <c r="B41" s="110">
        <f>E40+(C40*F34)+(G40*F35)</f>
        <v>32.653591428869362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38.75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 codeName="Sheet58"/>
  <dimension ref="A1:R51"/>
  <sheetViews>
    <sheetView view="pageLayout" topLeftCell="A16" zoomScaleNormal="100" workbookViewId="0">
      <selection activeCell="A4" sqref="A4:D4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237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735*10^6</f>
        <v>735000000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285*10^6</f>
        <v>285000000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177*10^6</f>
        <v>177000000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46*10^6</f>
        <v>46000000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375*10^3</f>
        <v>375000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8000</v>
      </c>
      <c r="C10" s="98" t="s">
        <v>36</v>
      </c>
      <c r="E10" s="96" t="s">
        <v>139</v>
      </c>
      <c r="F10" s="99">
        <f>F7+F8</f>
        <v>223000000</v>
      </c>
      <c r="G10" s="97" t="s">
        <v>123</v>
      </c>
      <c r="J10" s="85" t="s">
        <v>140</v>
      </c>
      <c r="K10" s="85">
        <f>B8*B12</f>
        <v>360600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3.768292754203646</v>
      </c>
      <c r="C15" s="110">
        <f>$F$6/($F$11*B8*B12^2)</f>
        <v>1.4611747414259035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1.0506406465479295E-2</v>
      </c>
      <c r="C16" s="114">
        <f>0.85*$B$5/$B$6*(1-SQRT(1-(2*C15/(0.85*$B$5))))</f>
        <v>3.8605739017142779E-3</v>
      </c>
      <c r="E16" s="96" t="s">
        <v>151</v>
      </c>
      <c r="F16" s="110">
        <f>B22*$B$6/(0.85*$B$5*$B$8)</f>
        <v>109.86950307730891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129.25823891448107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1.0506406465479295E-2</v>
      </c>
      <c r="C18" s="114">
        <f>MAX(C16:C17)</f>
        <v>3.8605739017142779E-3</v>
      </c>
      <c r="E18" s="96" t="s">
        <v>155</v>
      </c>
      <c r="F18" s="115">
        <f>0.003*($B$12-F17)/F17</f>
        <v>1.0948820710708339E-2</v>
      </c>
      <c r="G18" s="116">
        <f>0.003*($B$12-G17)/G17</f>
        <v>2.8896303358486395E-2</v>
      </c>
    </row>
    <row r="19" spans="1:18" ht="18" customHeight="1" x14ac:dyDescent="0.45">
      <c r="A19" s="94" t="s">
        <v>156</v>
      </c>
      <c r="B19" s="110">
        <f>$K$10*B18</f>
        <v>3788.6101714518336</v>
      </c>
      <c r="C19" s="117">
        <f>$K$10*C18</f>
        <v>1392.1229489581685</v>
      </c>
      <c r="E19" s="96" t="s">
        <v>157</v>
      </c>
      <c r="F19" s="118">
        <f>B22*$B$6*($B$12-F16/2)</f>
        <v>917937537.69239938</v>
      </c>
      <c r="G19" s="119">
        <f>C22*$B$6*($B$12-G16/2)</f>
        <v>424153955.01664478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20</v>
      </c>
      <c r="E20" s="96" t="s">
        <v>162</v>
      </c>
      <c r="F20" s="118">
        <f>$F$11*F19</f>
        <v>826143783.92315948</v>
      </c>
      <c r="G20" s="119">
        <f>$F$11*G19</f>
        <v>381738559.51498032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7</v>
      </c>
      <c r="C21" s="95">
        <v>6</v>
      </c>
      <c r="E21" s="96" t="s">
        <v>76</v>
      </c>
      <c r="F21" s="120">
        <f>F20/F5</f>
        <v>1.1240051481947748</v>
      </c>
      <c r="G21" s="121">
        <f>G20/F6</f>
        <v>1.3394335421578256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4310.2651207251956</v>
      </c>
      <c r="C22" s="123">
        <f>C20^2*PI()/4*C21</f>
        <v>1884.9555921538758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  <c r="J23" s="85">
        <f>13-6</f>
        <v>7</v>
      </c>
    </row>
    <row r="24" spans="1:18" ht="18" customHeight="1" x14ac:dyDescent="0.45">
      <c r="A24" s="94" t="s">
        <v>168</v>
      </c>
      <c r="B24" s="110">
        <f>F12*0.17*SQRT(B5)*B8*B12</f>
        <v>251823.66165136269</v>
      </c>
      <c r="C24" s="85" t="s">
        <v>136</v>
      </c>
      <c r="E24" s="96" t="s">
        <v>169</v>
      </c>
      <c r="F24" s="99">
        <f>F9</f>
        <v>375000</v>
      </c>
      <c r="G24" s="97"/>
      <c r="J24" s="114">
        <v>3.5999999999999999E-3</v>
      </c>
      <c r="Q24" s="100"/>
    </row>
    <row r="25" spans="1:18" ht="18" customHeight="1" x14ac:dyDescent="0.45">
      <c r="A25" s="94" t="s">
        <v>170</v>
      </c>
      <c r="B25" s="110">
        <f>B24/2</f>
        <v>125911.83082568135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  <c r="J25" s="117">
        <f>$K$10*J24</f>
        <v>1298.1599999999999</v>
      </c>
    </row>
    <row r="26" spans="1:18" ht="18" customHeight="1" x14ac:dyDescent="0.45">
      <c r="A26" s="94" t="s">
        <v>172</v>
      </c>
      <c r="B26" s="110">
        <f>IF(F24&gt;B24,F24-B24, "N/A")</f>
        <v>123176.33834863731</v>
      </c>
      <c r="C26" s="85" t="s">
        <v>136</v>
      </c>
      <c r="D26" s="190"/>
      <c r="E26" s="190"/>
      <c r="G26" s="112"/>
      <c r="J26" s="95">
        <v>28</v>
      </c>
      <c r="K26" s="95">
        <v>10</v>
      </c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  <c r="J27" s="95">
        <v>1</v>
      </c>
      <c r="K27" s="95">
        <v>1</v>
      </c>
    </row>
    <row r="28" spans="1:18" ht="18" customHeight="1" x14ac:dyDescent="0.45">
      <c r="A28" s="94" t="s">
        <v>174</v>
      </c>
      <c r="B28" s="111">
        <f>2*B27^2*PI()/4</f>
        <v>157.07963267948966</v>
      </c>
      <c r="C28" s="85" t="s">
        <v>175</v>
      </c>
      <c r="E28" s="96" t="s">
        <v>176</v>
      </c>
      <c r="F28" s="111">
        <f>MIN((B28*B7/(B8*0.062*SQRT(B5))),(B28*B7/(0.345*B8)),B12/2,600)</f>
        <v>295.94713403382116</v>
      </c>
      <c r="G28" s="97" t="s">
        <v>36</v>
      </c>
      <c r="J28" s="123">
        <f>J26^2*PI()/4*J27</f>
        <v>615.75216010359941</v>
      </c>
      <c r="K28" s="123">
        <f>K26^2*PI()/4*K27</f>
        <v>78.539816339744831</v>
      </c>
      <c r="L28" s="85">
        <f>J28/K28</f>
        <v>7.839999999999999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224.17796873984341</v>
      </c>
      <c r="C29" s="104" t="s">
        <v>36</v>
      </c>
      <c r="D29" s="104"/>
      <c r="E29" s="105" t="s">
        <v>178</v>
      </c>
      <c r="F29" s="128">
        <f>MIN(B29,F28)</f>
        <v>224.17796873984341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10854090050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105311959.31937066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148.60534253999484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3653490355.0078959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0.5949828210133935</v>
      </c>
      <c r="D38" s="118">
        <f>$B$34/F10</f>
        <v>0.47225093865188633</v>
      </c>
      <c r="E38" s="118">
        <f>B34/F8</f>
        <v>2.2893904199863186</v>
      </c>
      <c r="F38" s="118">
        <f>B34/(F7+0.5*F8)</f>
        <v>0.52655979659685326</v>
      </c>
      <c r="G38" s="119">
        <f>MAX($B$34,($F$7+0.5*$F$8))</f>
        <v>200000000</v>
      </c>
    </row>
    <row r="39" spans="1:7" ht="18" customHeight="1" x14ac:dyDescent="0.45">
      <c r="A39" s="189" t="s">
        <v>193</v>
      </c>
      <c r="B39" s="190"/>
      <c r="C39" s="118">
        <f>C38^3*$B$32+(1-C38^3)*$B$36</f>
        <v>5170128403.8561773</v>
      </c>
      <c r="D39" s="118">
        <f>D38^3*$B$32+(1-D38^3)*$B$36</f>
        <v>4411870854.2220764</v>
      </c>
      <c r="E39" s="118">
        <f>$B$32*($B$34/E38)^3+(1-($B$34/E38)^3)*$B$36</f>
        <v>7.0087757191175142E+32</v>
      </c>
      <c r="F39" s="118">
        <f>$B$32*($B$34/F38)^3+(1-($B$34/F38)^3)*$B$36</f>
        <v>5.7604797559936834E+34</v>
      </c>
      <c r="G39" s="119">
        <f>$B$32*($B$34/G38)^3+(1-($B$34/G38)^3)*$B$36</f>
        <v>4704754274.6990337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8.8658870216543839</v>
      </c>
      <c r="D40" s="110">
        <f>(5/48)*$F$10*$B$10^2/($F$31*$C$39)</f>
        <v>11.170015852140835</v>
      </c>
      <c r="E40" s="110">
        <f>D40-C40</f>
        <v>2.3041288304864516</v>
      </c>
      <c r="F40" s="110">
        <f>(5/48)*(F7+0.5*F8)*$B$10^2/($F$31*$C$39)</f>
        <v>10.01795143689761</v>
      </c>
      <c r="G40" s="112">
        <f>F40-C40</f>
        <v>1.1520644152432258</v>
      </c>
    </row>
    <row r="41" spans="1:7" ht="18" customHeight="1" x14ac:dyDescent="0.45">
      <c r="A41" s="94" t="s">
        <v>195</v>
      </c>
      <c r="B41" s="110">
        <f>E40+(C40*F34)+(G40*F35)</f>
        <v>22.109618821233028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33.333333333333336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sheetPr codeName="Sheet49"/>
  <dimension ref="A1:R51"/>
  <sheetViews>
    <sheetView view="pageLayout" zoomScaleNormal="100" workbookViewId="0">
      <selection activeCell="G42" sqref="A4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214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845*10^6</f>
        <v>845000000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712*10^6</f>
        <v>712000000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459*10^6</f>
        <v>459000000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102*10^6</f>
        <v>102000000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502*10^3</f>
        <v>502000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8000</v>
      </c>
      <c r="C10" s="98" t="s">
        <v>36</v>
      </c>
      <c r="E10" s="96" t="s">
        <v>139</v>
      </c>
      <c r="F10" s="99">
        <f>F7+F8</f>
        <v>561000000</v>
      </c>
      <c r="G10" s="97" t="s">
        <v>123</v>
      </c>
      <c r="J10" s="85" t="s">
        <v>140</v>
      </c>
      <c r="K10" s="85">
        <f>B8*B12</f>
        <v>493600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3.0828605793997492</v>
      </c>
      <c r="C15" s="110">
        <f>$F$6/($F$11*B8*B12^2)</f>
        <v>2.5976292692693743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8.450907065184296E-3</v>
      </c>
      <c r="C16" s="114">
        <f>0.85*$B$5/$B$6*(1-SQRT(1-(2*C15/(0.85*$B$5))))</f>
        <v>7.0395386705207974E-3</v>
      </c>
      <c r="E16" s="96" t="s">
        <v>151</v>
      </c>
      <c r="F16" s="110">
        <f>B22*$B$6/(0.85*$B$5*$B$8)</f>
        <v>96.095775286276037</v>
      </c>
      <c r="G16" s="112">
        <f>C22*$B$6/(0.85*$B$5*$B$8)</f>
        <v>96.095775286276037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113.05385327797181</v>
      </c>
      <c r="G17" s="112">
        <f>G16/G15</f>
        <v>113.05385327797181</v>
      </c>
    </row>
    <row r="18" spans="1:18" ht="18" customHeight="1" x14ac:dyDescent="0.45">
      <c r="A18" s="94" t="s">
        <v>154</v>
      </c>
      <c r="B18" s="113">
        <f>MAX(B16:B17)</f>
        <v>8.450907065184296E-3</v>
      </c>
      <c r="C18" s="114">
        <f>MAX(C16:C17)</f>
        <v>7.0395386705207974E-3</v>
      </c>
      <c r="E18" s="96" t="s">
        <v>155</v>
      </c>
      <c r="F18" s="115">
        <f>0.003*($B$12-F17)/F17</f>
        <v>1.337272809666065E-2</v>
      </c>
      <c r="G18" s="116">
        <f>0.003*($B$12-G17)/G17</f>
        <v>1.337272809666065E-2</v>
      </c>
    </row>
    <row r="19" spans="1:18" ht="18" customHeight="1" x14ac:dyDescent="0.45">
      <c r="A19" s="94" t="s">
        <v>156</v>
      </c>
      <c r="B19" s="110">
        <f>$K$10*B18</f>
        <v>4171.3677273749681</v>
      </c>
      <c r="C19" s="117">
        <f>$K$10*C18</f>
        <v>3474.7162877690657</v>
      </c>
      <c r="E19" s="96" t="s">
        <v>157</v>
      </c>
      <c r="F19" s="118">
        <f>B22*$B$6*($B$12-F16/2)</f>
        <v>1115347444.4890206</v>
      </c>
      <c r="G19" s="119">
        <f>C22*$B$6*($B$12-G16/2)</f>
        <v>1115347444.4890206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1003812700.0401186</v>
      </c>
      <c r="G20" s="119">
        <f>$F$11*G19</f>
        <v>1003812700.0401186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16</v>
      </c>
      <c r="C21" s="95">
        <v>16</v>
      </c>
      <c r="E21" s="96" t="s">
        <v>76</v>
      </c>
      <c r="F21" s="120">
        <f>F20/F5</f>
        <v>1.1879440237161167</v>
      </c>
      <c r="G21" s="121">
        <f>G20/F6</f>
        <v>1.4098492978091552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5026.5482457436692</v>
      </c>
      <c r="C22" s="123">
        <f>C20^2*PI()/4*C21</f>
        <v>5026.5482457436692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344703.71434030123</v>
      </c>
      <c r="C24" s="85" t="s">
        <v>136</v>
      </c>
      <c r="E24" s="96" t="s">
        <v>169</v>
      </c>
      <c r="F24" s="99">
        <f>F9</f>
        <v>502000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172351.85717015062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157296.28565969877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8*B27^2*PI()/4</f>
        <v>402.12385965949352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260.26183238173951</v>
      </c>
      <c r="C29" s="104" t="s">
        <v>36</v>
      </c>
      <c r="D29" s="104"/>
      <c r="E29" s="105" t="s">
        <v>178</v>
      </c>
      <c r="F29" s="128">
        <f>MIN(B29,F28)</f>
        <v>260.26183238173951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15659007533.333332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151931737.87351421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201.42575473498579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8923610445.7101784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0.331005964866044</v>
      </c>
      <c r="D38" s="118">
        <f>$B$34/F10</f>
        <v>0.2708230621631269</v>
      </c>
      <c r="E38" s="118">
        <f>B34/F8</f>
        <v>1.4895268418971981</v>
      </c>
      <c r="F38" s="118">
        <f>B34/(F7+0.5*F8)</f>
        <v>0.29790536837943959</v>
      </c>
      <c r="G38" s="119">
        <f>MAX($B$34,($F$7+0.5*$F$8))</f>
        <v>510000000</v>
      </c>
    </row>
    <row r="39" spans="1:7" ht="18" customHeight="1" x14ac:dyDescent="0.45">
      <c r="A39" s="189" t="s">
        <v>193</v>
      </c>
      <c r="B39" s="190"/>
      <c r="C39" s="118">
        <f>C38^3*$B$32+(1-C38^3)*$B$36</f>
        <v>9167880745.176302</v>
      </c>
      <c r="D39" s="118">
        <f>D38^3*$B$32+(1-D38^3)*$B$36</f>
        <v>9057399362.5477486</v>
      </c>
      <c r="E39" s="118">
        <f>$B$32*($B$34/E38)^3+(1-($B$34/E38)^3)*$B$36</f>
        <v>7.1476572725623913E+33</v>
      </c>
      <c r="F39" s="118">
        <f>$B$32*($B$34/F38)^3+(1-($B$34/F38)^3)*$B$36</f>
        <v>8.9345715907029918E+35</v>
      </c>
      <c r="G39" s="119">
        <f>$B$32*($B$34/G38)^3+(1-($B$34/G38)^3)*$B$36</f>
        <v>9101683494.0209827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12.965640801185122</v>
      </c>
      <c r="D40" s="110">
        <f>(5/48)*$F$10*$B$10^2/($F$31*$C$39)</f>
        <v>15.846894312559593</v>
      </c>
      <c r="E40" s="110">
        <f>D40-C40</f>
        <v>2.8812535113744708</v>
      </c>
      <c r="F40" s="110">
        <f>(5/48)*(F7+0.5*F8)*$B$10^2/($F$31*$C$39)</f>
        <v>14.406267556872358</v>
      </c>
      <c r="G40" s="112">
        <f>F40-C40</f>
        <v>1.4406267556872354</v>
      </c>
    </row>
    <row r="41" spans="1:7" ht="18" customHeight="1" x14ac:dyDescent="0.45">
      <c r="A41" s="94" t="s">
        <v>195</v>
      </c>
      <c r="B41" s="110">
        <f>E40+(C40*F34)+(G40*F35)</f>
        <v>31.405663273981737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33.333333333333336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 codeName="Sheet50">
    <tabColor rgb="FFFF0000"/>
  </sheetPr>
  <dimension ref="A1:R51"/>
  <sheetViews>
    <sheetView view="pageLayout" topLeftCell="A22" zoomScale="85" zoomScaleNormal="100" zoomScalePageLayoutView="85" workbookViewId="0">
      <selection activeCell="A3" sqref="A3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216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497*10^6</f>
        <v>497000000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476*10^6</f>
        <v>476000000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303*10^6</f>
        <v>303000000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72*10^6</f>
        <v>72000000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475</v>
      </c>
      <c r="C9" s="98" t="s">
        <v>36</v>
      </c>
      <c r="E9" s="96" t="s">
        <v>135</v>
      </c>
      <c r="F9" s="95">
        <f>225*10^3</f>
        <v>225000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7500</v>
      </c>
      <c r="C10" s="98" t="s">
        <v>36</v>
      </c>
      <c r="E10" s="96" t="s">
        <v>139</v>
      </c>
      <c r="F10" s="99">
        <f>F7+F8</f>
        <v>375000000</v>
      </c>
      <c r="G10" s="97" t="s">
        <v>123</v>
      </c>
      <c r="J10" s="85" t="s">
        <v>140</v>
      </c>
      <c r="K10" s="85">
        <f>B8*B12</f>
        <v>300800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376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4.8825668980433576</v>
      </c>
      <c r="C15" s="110">
        <f>$F$6/($F$11*B8*B12^2)</f>
        <v>4.6762612544640616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1.4023196788720856E-2</v>
      </c>
      <c r="C16" s="114">
        <f>0.85*$B$5/$B$6*(1-SQRT(1-(2*C15/(0.85*$B$5))))</f>
        <v>1.3354136023698065E-2</v>
      </c>
      <c r="E16" s="96" t="s">
        <v>151</v>
      </c>
      <c r="F16" s="110">
        <f>B22*$B$6/(0.85*$B$5*$B$8)</f>
        <v>94.173859780550501</v>
      </c>
      <c r="G16" s="112">
        <f>C22*$B$6/(0.85*$B$5*$B$8)</f>
        <v>282.52157934165149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110.79277621241236</v>
      </c>
      <c r="G17" s="112">
        <f>G16/G15</f>
        <v>332.37832863723708</v>
      </c>
    </row>
    <row r="18" spans="1:18" ht="18" customHeight="1" x14ac:dyDescent="0.45">
      <c r="A18" s="94" t="s">
        <v>154</v>
      </c>
      <c r="B18" s="113">
        <f>MAX(B16:B17)</f>
        <v>1.4023196788720856E-2</v>
      </c>
      <c r="C18" s="114">
        <f>MAX(C16:C17)</f>
        <v>1.3354136023698065E-2</v>
      </c>
      <c r="E18" s="96" t="s">
        <v>155</v>
      </c>
      <c r="F18" s="115">
        <f>0.003*($B$12-F17)/F17</f>
        <v>7.1811691931736935E-3</v>
      </c>
      <c r="G18" s="116">
        <f>0.003*($B$12-G17)/G17</f>
        <v>3.937230643912314E-4</v>
      </c>
    </row>
    <row r="19" spans="1:18" ht="18" customHeight="1" x14ac:dyDescent="0.45">
      <c r="A19" s="94" t="s">
        <v>156</v>
      </c>
      <c r="B19" s="110">
        <f>$K$10*B18</f>
        <v>4218.1775940472335</v>
      </c>
      <c r="C19" s="117">
        <f>$K$10*C18</f>
        <v>4016.9241159283779</v>
      </c>
      <c r="E19" s="96" t="s">
        <v>157</v>
      </c>
      <c r="F19" s="118">
        <f>B22*$B$6*($B$12-F16/2)</f>
        <v>631890272.22787333</v>
      </c>
      <c r="G19" s="119">
        <f>C22*$B$6*($B$12-G16/2)</f>
        <v>1352905405.6864526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568701245.00508606</v>
      </c>
      <c r="G20" s="119">
        <f>$F$11*G19</f>
        <v>1217614865.1178074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24</v>
      </c>
      <c r="E21" s="96" t="s">
        <v>76</v>
      </c>
      <c r="F21" s="120">
        <f>F20/F5</f>
        <v>1.1442680986017828</v>
      </c>
      <c r="G21" s="121">
        <f>G20/F6</f>
        <v>2.5580144225164019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4926.0172808287953</v>
      </c>
      <c r="C22" s="123">
        <f>C20^2*PI()/4*C21</f>
        <v>14778.051842486386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210062.55525438132</v>
      </c>
      <c r="C24" s="85" t="s">
        <v>136</v>
      </c>
      <c r="E24" s="96" t="s">
        <v>169</v>
      </c>
      <c r="F24" s="99">
        <f>F9</f>
        <v>225000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105031.27762719066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14937.444745618675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392.69908169872411</v>
      </c>
      <c r="C28" s="85" t="s">
        <v>175</v>
      </c>
      <c r="E28" s="96" t="s">
        <v>176</v>
      </c>
      <c r="F28" s="111">
        <f>MIN((B28*B7/(B8*0.062*SQRT(B5))),(B28*B7/(0.345*B8)),B12/2,600)</f>
        <v>188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2891.3275155641004</v>
      </c>
      <c r="C29" s="104" t="s">
        <v>36</v>
      </c>
      <c r="D29" s="104"/>
      <c r="E29" s="105" t="s">
        <v>178</v>
      </c>
      <c r="F29" s="128">
        <f>MIN(B29,F28)</f>
        <v>188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3543825066.666666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237.5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50671175.406175196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214.98184193942558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5626284779.0143394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0.16723160200057821</v>
      </c>
      <c r="D38" s="118">
        <f>$B$34/F10</f>
        <v>0.1351231344164672</v>
      </c>
      <c r="E38" s="118">
        <f>B34/F8</f>
        <v>0.70376632508576664</v>
      </c>
      <c r="F38" s="118">
        <f>B34/(F7+0.5*F8)</f>
        <v>0.14947249382352565</v>
      </c>
      <c r="G38" s="119">
        <f>MAX($B$34,($F$7+0.5*$F$8))</f>
        <v>339000000</v>
      </c>
    </row>
    <row r="39" spans="1:7" ht="18" customHeight="1" x14ac:dyDescent="0.45">
      <c r="A39" s="189" t="s">
        <v>193</v>
      </c>
      <c r="B39" s="190"/>
      <c r="C39" s="118">
        <f>C38^3*$B$32+(1-C38^3)*$B$36</f>
        <v>5616545391.218811</v>
      </c>
      <c r="D39" s="118">
        <f>D38^3*$B$32+(1-D38^3)*$B$36</f>
        <v>5621147114.5099573</v>
      </c>
      <c r="E39" s="118">
        <f>$B$32*($B$34/E38)^3+(1-($B$34/E38)^3)*$B$36</f>
        <v>-7.7727392271434432E+32</v>
      </c>
      <c r="F39" s="118">
        <f>$B$32*($B$34/F38)^3+(1-($B$34/F38)^3)*$B$36</f>
        <v>-8.1128921532317691E+34</v>
      </c>
      <c r="G39" s="119">
        <f>$B$32*($B$34/G38)^3+(1-($B$34/G38)^3)*$B$36</f>
        <v>5619330366.4782257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12.279089472062033</v>
      </c>
      <c r="D40" s="110">
        <f>(5/48)*$F$10*$B$10^2/($F$31*$C$39)</f>
        <v>15.196892910967861</v>
      </c>
      <c r="E40" s="110">
        <f>D40-C40</f>
        <v>2.9178034389058283</v>
      </c>
      <c r="F40" s="110">
        <f>(5/48)*(F7+0.5*F8)*$B$10^2/($F$31*$C$39)</f>
        <v>13.737991191514947</v>
      </c>
      <c r="G40" s="112">
        <f>F40-C40</f>
        <v>1.4589017194529141</v>
      </c>
    </row>
    <row r="41" spans="1:7" ht="18" customHeight="1" x14ac:dyDescent="0.45">
      <c r="A41" s="94" t="s">
        <v>195</v>
      </c>
      <c r="B41" s="110">
        <f>E40+(C40*F34)+(G40*F35)</f>
        <v>30.10200547804514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31.25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>
    <tabColor rgb="FF00B050"/>
  </sheetPr>
  <dimension ref="A1:R51"/>
  <sheetViews>
    <sheetView view="pageLayout" topLeftCell="L1" zoomScale="55" zoomScaleNormal="100" zoomScalePageLayoutView="55" workbookViewId="0">
      <selection activeCell="H42" sqref="H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  <c r="H2" s="89">
        <f>266*10^6</f>
        <v>266000000</v>
      </c>
    </row>
    <row r="3" spans="1:17" ht="18" customHeight="1" x14ac:dyDescent="0.45">
      <c r="A3" s="181" t="s">
        <v>226</v>
      </c>
      <c r="B3" s="182"/>
      <c r="C3" s="182"/>
      <c r="D3" s="182"/>
      <c r="E3" s="182"/>
      <c r="F3" s="182"/>
      <c r="G3" s="183"/>
      <c r="H3" s="95">
        <f>570*10^6</f>
        <v>570000000</v>
      </c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95">
        <f>243*10^6</f>
        <v>243000000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143*10^6</f>
        <v>143000000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82*10^6</f>
        <v>82000000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28*10^6</f>
        <v>28000000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184*10^3</f>
        <v>184000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7000</v>
      </c>
      <c r="C10" s="98" t="s">
        <v>36</v>
      </c>
      <c r="E10" s="96" t="s">
        <v>139</v>
      </c>
      <c r="F10" s="99">
        <f>F7+F8</f>
        <v>110000000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1.6376976155122718</v>
      </c>
      <c r="C15" s="110">
        <f>$F$6/($F$11*B8*B12^2)</f>
        <v>0.96374797949899127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4.3434935812633078E-3</v>
      </c>
      <c r="C16" s="114">
        <f>0.85*$B$5/$B$6*(1-SQRT(1-(2*C15/(0.85*$B$5))))</f>
        <v>2.5196989454307692E-3</v>
      </c>
      <c r="E16" s="96" t="s">
        <v>151</v>
      </c>
      <c r="F16" s="110">
        <f>B22*$B$6/(0.85*$B$5*$B$8)</f>
        <v>48.047887643138019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4.3434935812633078E-3</v>
      </c>
      <c r="C18" s="114">
        <f>MAX(C16:C17)</f>
        <v>3.5897435897435893E-3</v>
      </c>
      <c r="E18" s="96" t="s">
        <v>155</v>
      </c>
      <c r="F18" s="115">
        <f>0.003*($B$12-F17)/F17</f>
        <v>3.1072257497750857E-2</v>
      </c>
      <c r="G18" s="116">
        <f>0.003*($B$12-G17)/G17</f>
        <v>4.2429676663667808E-2</v>
      </c>
    </row>
    <row r="19" spans="1:18" ht="18" customHeight="1" x14ac:dyDescent="0.45">
      <c r="A19" s="94" t="s">
        <v>156</v>
      </c>
      <c r="B19" s="110">
        <f>$K$10*B18</f>
        <v>1115.4091516684175</v>
      </c>
      <c r="C19" s="117">
        <f>$K$10*C18</f>
        <v>921.8461538461537</v>
      </c>
      <c r="E19" s="96" t="s">
        <v>157</v>
      </c>
      <c r="F19" s="118">
        <f>B22*$B$6*($B$12-F16/2)</f>
        <v>302862929.95679015</v>
      </c>
      <c r="G19" s="119">
        <f>C22*$B$6*($B$12-G16/2)</f>
        <v>229354795.74613041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272576636.96111113</v>
      </c>
      <c r="G20" s="119">
        <f>$F$11*G19</f>
        <v>206419316.17151737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4</v>
      </c>
      <c r="C21" s="95">
        <v>3</v>
      </c>
      <c r="E21" s="96" t="s">
        <v>76</v>
      </c>
      <c r="F21" s="120">
        <f>F20/F5</f>
        <v>1.121714555395519</v>
      </c>
      <c r="G21" s="121">
        <f>G20/F6</f>
        <v>1.4434917214791425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1256.6370614359173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184000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  <c r="H25" s="95">
        <v>20</v>
      </c>
    </row>
    <row r="26" spans="1:18" ht="18" customHeight="1" x14ac:dyDescent="0.45">
      <c r="A26" s="94" t="s">
        <v>172</v>
      </c>
      <c r="B26" s="110">
        <f>IF(F24&gt;B24,F24-B24, "N/A")</f>
        <v>4664.6802216585202</v>
      </c>
      <c r="C26" s="85" t="s">
        <v>136</v>
      </c>
      <c r="D26" s="190"/>
      <c r="E26" s="190"/>
      <c r="G26" s="112"/>
      <c r="H26" s="95">
        <v>6</v>
      </c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  <c r="H27" s="123">
        <f>H25^2*PI()/4*H26</f>
        <v>1884.9555921538758</v>
      </c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2282.9528729508947</v>
      </c>
      <c r="C29" s="104" t="s">
        <v>36</v>
      </c>
      <c r="D29" s="104"/>
      <c r="E29" s="105" t="s">
        <v>178</v>
      </c>
      <c r="F29" s="128">
        <f>MIN(B29,F28)</f>
        <v>160.26675566139235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136.09462350734012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2210144915.1727953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1.0436484912549158</v>
      </c>
      <c r="D38" s="118">
        <f>$B$34/F10</f>
        <v>0.7779925116627554</v>
      </c>
      <c r="E38" s="118">
        <f>B34/F8</f>
        <v>3.0563991529608248</v>
      </c>
      <c r="F38" s="118">
        <f>B34/(F7+0.5*F8)</f>
        <v>0.8914497529469072</v>
      </c>
      <c r="G38" s="119">
        <f>MAX($B$34,($F$7+0.5*$F$8))</f>
        <v>96000000</v>
      </c>
    </row>
    <row r="39" spans="1:7" ht="18" customHeight="1" x14ac:dyDescent="0.45">
      <c r="A39" s="189" t="s">
        <v>193</v>
      </c>
      <c r="B39" s="190"/>
      <c r="C39" s="118">
        <f>C38^3*$B$32+(1-C38^3)*$B$36</f>
        <v>9724211313.6532688</v>
      </c>
      <c r="D39" s="118">
        <f>D38^3*$B$32+(1-D38^3)*$B$36</f>
        <v>5322853977.5299568</v>
      </c>
      <c r="E39" s="118">
        <f>$B$32*($B$34/E38)^3+(1-($B$34/E38)^3)*$B$36</f>
        <v>1.4510633516132678E+32</v>
      </c>
      <c r="F39" s="118">
        <f>$B$32*($B$34/F38)^3+(1-($B$34/F38)^3)*$B$36</f>
        <v>5.8482506625952804E+33</v>
      </c>
      <c r="G39" s="119">
        <f>$B$32*($B$34/G38)^3+(1-($B$34/G38)^3)*$B$36</f>
        <v>6892915551.8343306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1.671959781073487</v>
      </c>
      <c r="D40" s="110">
        <f>(5/48)*$F$10*$B$10^2/($F$31*$C$39)</f>
        <v>2.2428728770497992</v>
      </c>
      <c r="E40" s="110">
        <f>D40-C40</f>
        <v>0.57091309597631223</v>
      </c>
      <c r="F40" s="110">
        <f>(5/48)*(F7+0.5*F8)*$B$10^2/($F$31*$C$39)</f>
        <v>1.9574163290616429</v>
      </c>
      <c r="G40" s="112">
        <f>F40-C40</f>
        <v>0.2854565479881559</v>
      </c>
    </row>
    <row r="41" spans="1:7" ht="18" customHeight="1" x14ac:dyDescent="0.45">
      <c r="A41" s="94" t="s">
        <v>195</v>
      </c>
      <c r="B41" s="110">
        <f>E40+(C40*F34)+(G40*F35)</f>
        <v>4.4286544445019667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29.166666666666668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sheetPr codeName="Sheet70">
    <tabColor rgb="FF0070C0"/>
  </sheetPr>
  <dimension ref="A1:R51"/>
  <sheetViews>
    <sheetView view="pageLayout" zoomScale="85" zoomScaleNormal="100" zoomScalePageLayoutView="85" workbookViewId="0">
      <selection activeCell="D10" sqref="D10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216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497*10^6</f>
        <v>497000000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476*10^6</f>
        <v>476000000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303*10^6</f>
        <v>303000000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72*10^6</f>
        <v>72000000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475</v>
      </c>
      <c r="C9" s="98" t="s">
        <v>36</v>
      </c>
      <c r="E9" s="96" t="s">
        <v>135</v>
      </c>
      <c r="F9" s="95">
        <f>225*10^3</f>
        <v>225000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4000</v>
      </c>
      <c r="C10" s="98" t="s">
        <v>36</v>
      </c>
      <c r="E10" s="96" t="s">
        <v>139</v>
      </c>
      <c r="F10" s="99">
        <f>F7+F8</f>
        <v>375000000</v>
      </c>
      <c r="G10" s="97" t="s">
        <v>123</v>
      </c>
      <c r="J10" s="85" t="s">
        <v>140</v>
      </c>
      <c r="K10" s="85">
        <f>B8*B12</f>
        <v>300800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376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4.8825668980433576</v>
      </c>
      <c r="C15" s="110">
        <f>$F$6/($F$11*B8*B12^2)</f>
        <v>4.6762612544640616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1.4023196788720856E-2</v>
      </c>
      <c r="C16" s="114">
        <f>0.85*$B$5/$B$6*(1-SQRT(1-(2*C15/(0.85*$B$5))))</f>
        <v>1.3354136023698065E-2</v>
      </c>
      <c r="E16" s="96" t="s">
        <v>151</v>
      </c>
      <c r="F16" s="110">
        <f>B22*$B$6/(0.85*$B$5*$B$8)</f>
        <v>94.173859780550501</v>
      </c>
      <c r="G16" s="112">
        <f>C22*$B$6/(0.85*$B$5*$B$8)</f>
        <v>117.71732472568812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110.79277621241236</v>
      </c>
      <c r="G17" s="112">
        <f>G16/G15</f>
        <v>138.49097026551544</v>
      </c>
    </row>
    <row r="18" spans="1:18" ht="18" customHeight="1" x14ac:dyDescent="0.45">
      <c r="A18" s="94" t="s">
        <v>154</v>
      </c>
      <c r="B18" s="113">
        <f>MAX(B16:B17)</f>
        <v>1.4023196788720856E-2</v>
      </c>
      <c r="C18" s="114">
        <f>MAX(C16:C17)</f>
        <v>1.3354136023698065E-2</v>
      </c>
      <c r="E18" s="96" t="s">
        <v>155</v>
      </c>
      <c r="F18" s="115">
        <f>0.003*($B$12-F17)/F17</f>
        <v>7.1811691931736935E-3</v>
      </c>
      <c r="G18" s="116">
        <f>0.003*($B$12-G17)/G17</f>
        <v>5.1449353545389553E-3</v>
      </c>
    </row>
    <row r="19" spans="1:18" ht="18" customHeight="1" x14ac:dyDescent="0.45">
      <c r="A19" s="94" t="s">
        <v>156</v>
      </c>
      <c r="B19" s="110">
        <f>$K$10*B18</f>
        <v>4218.1775940472335</v>
      </c>
      <c r="C19" s="117">
        <f>$K$10*C18</f>
        <v>4016.9241159283779</v>
      </c>
      <c r="E19" s="96" t="s">
        <v>157</v>
      </c>
      <c r="F19" s="118">
        <f>B22*$B$6*($B$12-F16/2)</f>
        <v>631890272.22787333</v>
      </c>
      <c r="G19" s="119">
        <f>C22*$B$6*($B$12-G16/2)</f>
        <v>761593808.46207261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568701245.00508606</v>
      </c>
      <c r="G20" s="119">
        <f>$F$11*G19</f>
        <v>685434427.61586535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10</v>
      </c>
      <c r="E21" s="96" t="s">
        <v>76</v>
      </c>
      <c r="F21" s="120">
        <f>F20/F5</f>
        <v>1.1442680986017828</v>
      </c>
      <c r="G21" s="121">
        <f>G20/F6</f>
        <v>1.4399882933106416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4926.0172808287953</v>
      </c>
      <c r="C22" s="123">
        <f>C20^2*PI()/4*C21</f>
        <v>6157.5216010359945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210062.55525438132</v>
      </c>
      <c r="C24" s="85" t="s">
        <v>136</v>
      </c>
      <c r="E24" s="96" t="s">
        <v>169</v>
      </c>
      <c r="F24" s="99">
        <f>F9</f>
        <v>225000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105031.27762719066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14937.444745618675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392.69908169872411</v>
      </c>
      <c r="C28" s="85" t="s">
        <v>175</v>
      </c>
      <c r="E28" s="96" t="s">
        <v>176</v>
      </c>
      <c r="F28" s="111">
        <f>MIN((B28*B7/(B8*0.062*SQRT(B5))),(B28*B7/(0.345*B8)),B12/2,600)</f>
        <v>188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2891.3275155641004</v>
      </c>
      <c r="C29" s="104" t="s">
        <v>36</v>
      </c>
      <c r="D29" s="104"/>
      <c r="E29" s="105" t="s">
        <v>178</v>
      </c>
      <c r="F29" s="128">
        <f>MIN(B29,F28)</f>
        <v>188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3543825066.666666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237.5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50671175.406175196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160.5289043542526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3324169944.6332731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0.16723160200057821</v>
      </c>
      <c r="D38" s="118">
        <f>$B$34/F10</f>
        <v>0.1351231344164672</v>
      </c>
      <c r="E38" s="118">
        <f>B34/F8</f>
        <v>0.70376632508576664</v>
      </c>
      <c r="F38" s="118">
        <f>B34/(F7+0.5*F8)</f>
        <v>0.14947249382352565</v>
      </c>
      <c r="G38" s="119">
        <f>MAX($B$34,($F$7+0.5*$F$8))</f>
        <v>339000000</v>
      </c>
    </row>
    <row r="39" spans="1:7" ht="18" customHeight="1" x14ac:dyDescent="0.45">
      <c r="A39" s="189" t="s">
        <v>193</v>
      </c>
      <c r="B39" s="190"/>
      <c r="C39" s="118">
        <f>C38^3*$B$32+(1-C38^3)*$B$36</f>
        <v>3325197242.4974637</v>
      </c>
      <c r="D39" s="118">
        <f>D38^3*$B$32+(1-D38^3)*$B$36</f>
        <v>3324711858.753861</v>
      </c>
      <c r="E39" s="118">
        <f>$B$32*($B$34/E38)^3+(1-($B$34/E38)^3)*$B$36</f>
        <v>8.1985834988719977E+31</v>
      </c>
      <c r="F39" s="118">
        <f>$B$32*($B$34/F38)^3+(1-($B$34/F38)^3)*$B$36</f>
        <v>8.5573723486486409E+33</v>
      </c>
      <c r="G39" s="119">
        <f>$B$32*($B$34/G38)^3+(1-($B$34/G38)^3)*$B$36</f>
        <v>3324903486.9559565</v>
      </c>
    </row>
    <row r="40" spans="1:7" ht="18" customHeight="1" x14ac:dyDescent="0.45">
      <c r="A40" s="189" t="s">
        <v>194</v>
      </c>
      <c r="B40" s="190"/>
      <c r="C40" s="110">
        <f>(5/48)*$F$7*$B$10^2/($F$31*$C$39)</f>
        <v>5.8995037448278076</v>
      </c>
      <c r="D40" s="110">
        <f>(5/48)*$F$10*$B$10^2/($F$31*$C$39)</f>
        <v>7.3013660208264941</v>
      </c>
      <c r="E40" s="110">
        <f>D40-C40</f>
        <v>1.4018622759986865</v>
      </c>
      <c r="F40" s="110">
        <f>(5/48)*(F7+0.5*F8)*$B$10^2/($F$31*$C$39)</f>
        <v>6.6004348828271509</v>
      </c>
      <c r="G40" s="112">
        <f>F40-C40</f>
        <v>0.70093113799934326</v>
      </c>
    </row>
    <row r="41" spans="1:7" ht="18" customHeight="1" x14ac:dyDescent="0.45">
      <c r="A41" s="94" t="s">
        <v>195</v>
      </c>
      <c r="B41" s="110">
        <f>E40+(C40*F34)+(G40*F35)</f>
        <v>14.462545814053119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16.666666666666668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sheetPr codeName="Sheet71">
    <tabColor rgb="FFFF0000"/>
  </sheetPr>
  <dimension ref="A1:R51"/>
  <sheetViews>
    <sheetView view="pageLayout" topLeftCell="A40" zoomScale="85" zoomScaleNormal="100" zoomScalePageLayoutView="85" workbookViewId="0">
      <selection activeCell="E8" sqref="E8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216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406*10^6</f>
        <v>406000000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363*10^6</f>
        <v>363000000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236*10^6</f>
        <v>236000000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50*10^6</f>
        <v>50000000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475</v>
      </c>
      <c r="C9" s="98" t="s">
        <v>36</v>
      </c>
      <c r="E9" s="96" t="s">
        <v>135</v>
      </c>
      <c r="F9" s="95">
        <f>279*10^3</f>
        <v>279000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7500</v>
      </c>
      <c r="C10" s="98" t="s">
        <v>36</v>
      </c>
      <c r="E10" s="96" t="s">
        <v>139</v>
      </c>
      <c r="F10" s="99">
        <f>F7+F8</f>
        <v>286000000</v>
      </c>
      <c r="G10" s="97" t="s">
        <v>123</v>
      </c>
      <c r="J10" s="85" t="s">
        <v>140</v>
      </c>
      <c r="K10" s="85">
        <f>B8*B12</f>
        <v>312000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390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3.7073562714588357</v>
      </c>
      <c r="C15" s="110">
        <f>$F$6/($F$11*B8*B12^2)</f>
        <v>3.3147052377821606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1.0320560272513844E-2</v>
      </c>
      <c r="C16" s="114">
        <f>0.85*$B$5/$B$6*(1-SQRT(1-(2*C15/(0.85*$B$5))))</f>
        <v>9.137763891280402E-3</v>
      </c>
      <c r="E16" s="96" t="s">
        <v>151</v>
      </c>
      <c r="F16" s="110">
        <f>B22*$B$6/(0.85*$B$5*$B$8)</f>
        <v>72.071831464707017</v>
      </c>
      <c r="G16" s="112">
        <f>C22*$B$6/(0.85*$B$5*$B$8)</f>
        <v>141.26078967082574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166.18916431861854</v>
      </c>
    </row>
    <row r="18" spans="1:18" ht="18" customHeight="1" x14ac:dyDescent="0.45">
      <c r="A18" s="94" t="s">
        <v>154</v>
      </c>
      <c r="B18" s="113">
        <f>MAX(B16:B17)</f>
        <v>1.0320560272513844E-2</v>
      </c>
      <c r="C18" s="114">
        <f>MAX(C16:C17)</f>
        <v>9.137763891280402E-3</v>
      </c>
      <c r="E18" s="96" t="s">
        <v>155</v>
      </c>
      <c r="F18" s="115">
        <f>0.003*($B$12-F17)/F17</f>
        <v>1.0798733566067328E-2</v>
      </c>
      <c r="G18" s="116">
        <f>0.003*($B$12-G17)/G17</f>
        <v>4.0401701867690439E-3</v>
      </c>
    </row>
    <row r="19" spans="1:18" ht="18" customHeight="1" x14ac:dyDescent="0.45">
      <c r="A19" s="94" t="s">
        <v>156</v>
      </c>
      <c r="B19" s="110">
        <f>$K$10*B18</f>
        <v>3220.0148050243192</v>
      </c>
      <c r="C19" s="117">
        <f>$K$10*C18</f>
        <v>2850.9823340794856</v>
      </c>
      <c r="E19" s="96" t="s">
        <v>157</v>
      </c>
      <c r="F19" s="118">
        <f>B22*$B$6*($B$12-F16/2)</f>
        <v>520421132.44830233</v>
      </c>
      <c r="G19" s="119">
        <f>C22*$B$6*($B$12-G16/2)</f>
        <v>920333813.49715197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28</v>
      </c>
      <c r="E20" s="96" t="s">
        <v>162</v>
      </c>
      <c r="F20" s="118">
        <f>$F$11*F19</f>
        <v>468379019.20347208</v>
      </c>
      <c r="G20" s="119">
        <f>$F$11*G19</f>
        <v>828300432.14743674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12</v>
      </c>
      <c r="C21" s="95">
        <v>12</v>
      </c>
      <c r="E21" s="96" t="s">
        <v>76</v>
      </c>
      <c r="F21" s="120">
        <f>F20/F5</f>
        <v>1.1536429044420495</v>
      </c>
      <c r="G21" s="121">
        <f>G20/F6</f>
        <v>2.2818193723069884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3769.9111843077517</v>
      </c>
      <c r="C22" s="122">
        <f>C20^2*PI()/4*C21</f>
        <v>7389.0259212431929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217884.0333755551</v>
      </c>
      <c r="C24" s="85" t="s">
        <v>136</v>
      </c>
      <c r="E24" s="96" t="s">
        <v>169</v>
      </c>
      <c r="F24" s="99">
        <f>F9</f>
        <v>279000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108942.01668777755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61115.966624444904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6*B27^2*PI()/4</f>
        <v>471.23889803846896</v>
      </c>
      <c r="C28" s="85" t="s">
        <v>175</v>
      </c>
      <c r="E28" s="96" t="s">
        <v>176</v>
      </c>
      <c r="F28" s="111">
        <f>MIN((B28*B7/(B8*0.062*SQRT(B5))),(B28*B7/(0.345*B8)),B12/2,600)</f>
        <v>195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496.17513660737097</v>
      </c>
      <c r="C29" s="104" t="s">
        <v>36</v>
      </c>
      <c r="D29" s="104"/>
      <c r="E29" s="105" t="s">
        <v>178</v>
      </c>
      <c r="F29" s="128">
        <f>MIN(B29,F28)</f>
        <v>195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3954599999.9999995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237.5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56544616.760596067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175.46727431692753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4082724498.0796318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0.23959583373133927</v>
      </c>
      <c r="D38" s="118">
        <f>$B$34/F10</f>
        <v>0.19770845021187436</v>
      </c>
      <c r="E38" s="118">
        <f>B34/F8</f>
        <v>1.1308923352119213</v>
      </c>
      <c r="F38" s="118">
        <f>B34/(F7+0.5*F8)</f>
        <v>0.21664604122833742</v>
      </c>
      <c r="G38" s="119">
        <f>MAX($B$34,($F$7+0.5*$F$8))</f>
        <v>261000000</v>
      </c>
    </row>
    <row r="39" spans="1:7" ht="18" customHeight="1" x14ac:dyDescent="0.45">
      <c r="A39" s="189" t="s">
        <v>193</v>
      </c>
      <c r="B39" s="190"/>
      <c r="C39" s="118">
        <f>C38^3*$B$32+(1-C38^3)*$B$36</f>
        <v>4080962238.1637588</v>
      </c>
      <c r="D39" s="118">
        <f>D38^3*$B$32+(1-D38^3)*$B$36</f>
        <v>4081734332.3922858</v>
      </c>
      <c r="E39" s="118">
        <f>$B$32*($B$34/E38)^3+(1-($B$34/E38)^3)*$B$36</f>
        <v>-1.6015562259954074E+31</v>
      </c>
      <c r="F39" s="118">
        <f>$B$32*($B$34/F38)^3+(1-($B$34/F38)^3)*$B$36</f>
        <v>-2.2779998916911605E+33</v>
      </c>
      <c r="G39" s="119">
        <f>$B$32*($B$34/G38)^3+(1-($B$34/G38)^3)*$B$36</f>
        <v>4081421677.9809599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13.162616716780372</v>
      </c>
      <c r="D40" s="110">
        <f>(5/48)*$F$10*$B$10^2/($F$31*$C$39)</f>
        <v>15.951306699149091</v>
      </c>
      <c r="E40" s="110">
        <f>D40-C40</f>
        <v>2.7886899823687195</v>
      </c>
      <c r="F40" s="110">
        <f>(5/48)*(F7+0.5*F8)*$B$10^2/($F$31*$C$39)</f>
        <v>14.556961707964732</v>
      </c>
      <c r="G40" s="112">
        <f>F40-C40</f>
        <v>1.3943449911843597</v>
      </c>
    </row>
    <row r="41" spans="1:7" ht="18" customHeight="1" x14ac:dyDescent="0.45">
      <c r="A41" s="94" t="s">
        <v>195</v>
      </c>
      <c r="B41" s="110">
        <f>ROUNDDOWN(E40+(C40*F34)+(G40*F35),0)</f>
        <v>31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31.25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sheetPr codeName="Sheet72">
    <tabColor rgb="FF0070C0"/>
  </sheetPr>
  <dimension ref="A1:R51"/>
  <sheetViews>
    <sheetView view="pageLayout" topLeftCell="A4" zoomScale="85" zoomScaleNormal="100" zoomScalePageLayoutView="85" workbookViewId="0">
      <selection activeCell="E12" sqref="E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249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406*10^6</f>
        <v>406000000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363*10^6</f>
        <v>363000000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236*10^6</f>
        <v>236000000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50*10^6</f>
        <v>50000000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475</v>
      </c>
      <c r="C9" s="98" t="s">
        <v>36</v>
      </c>
      <c r="E9" s="96" t="s">
        <v>135</v>
      </c>
      <c r="F9" s="95">
        <f>279*10^3</f>
        <v>279000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4000</v>
      </c>
      <c r="C10" s="98" t="s">
        <v>36</v>
      </c>
      <c r="E10" s="96" t="s">
        <v>139</v>
      </c>
      <c r="F10" s="99">
        <f>F7+F8</f>
        <v>286000000</v>
      </c>
      <c r="G10" s="97" t="s">
        <v>123</v>
      </c>
      <c r="J10" s="85" t="s">
        <v>140</v>
      </c>
      <c r="K10" s="85">
        <f>B8*B12</f>
        <v>312000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390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3.7073562714588357</v>
      </c>
      <c r="C15" s="110">
        <f>$F$6/($F$11*B8*B12^2)</f>
        <v>3.3147052377821606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1.0320560272513844E-2</v>
      </c>
      <c r="C16" s="114">
        <f>0.85*$B$5/$B$6*(1-SQRT(1-(2*C15/(0.85*$B$5))))</f>
        <v>9.137763891280402E-3</v>
      </c>
      <c r="E16" s="96" t="s">
        <v>151</v>
      </c>
      <c r="F16" s="110">
        <f>B22*$B$6/(0.85*$B$5*$B$8)</f>
        <v>72.071831464707017</v>
      </c>
      <c r="G16" s="112">
        <f>C22*$B$6/(0.85*$B$5*$B$8)</f>
        <v>72.071831464707017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84.790389958478841</v>
      </c>
    </row>
    <row r="18" spans="1:18" ht="18" customHeight="1" x14ac:dyDescent="0.45">
      <c r="A18" s="94" t="s">
        <v>154</v>
      </c>
      <c r="B18" s="113">
        <f>MAX(B16:B17)</f>
        <v>1.0320560272513844E-2</v>
      </c>
      <c r="C18" s="114">
        <f>MAX(C16:C17)</f>
        <v>9.137763891280402E-3</v>
      </c>
      <c r="E18" s="96" t="s">
        <v>155</v>
      </c>
      <c r="F18" s="115">
        <f>0.003*($B$12-F17)/F17</f>
        <v>1.0798733566067328E-2</v>
      </c>
      <c r="G18" s="116">
        <f>0.003*($B$12-G17)/G17</f>
        <v>1.0798733566067328E-2</v>
      </c>
    </row>
    <row r="19" spans="1:18" ht="18" customHeight="1" x14ac:dyDescent="0.45">
      <c r="A19" s="94" t="s">
        <v>156</v>
      </c>
      <c r="B19" s="110">
        <f>$K$10*B18</f>
        <v>3220.0148050243192</v>
      </c>
      <c r="C19" s="117">
        <f>$K$10*C18</f>
        <v>2850.9823340794856</v>
      </c>
      <c r="E19" s="96" t="s">
        <v>157</v>
      </c>
      <c r="F19" s="118">
        <f>B22*$B$6*($B$12-F16/2)</f>
        <v>520421132.44830233</v>
      </c>
      <c r="G19" s="119">
        <f>C22*$B$6*($B$12-G16/2)</f>
        <v>520421132.44830233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468379019.20347208</v>
      </c>
      <c r="G20" s="119">
        <f>$F$11*G19</f>
        <v>468379019.20347208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12</v>
      </c>
      <c r="C21" s="95">
        <v>12</v>
      </c>
      <c r="E21" s="96" t="s">
        <v>76</v>
      </c>
      <c r="F21" s="120">
        <f>F20/F5</f>
        <v>1.1536429044420495</v>
      </c>
      <c r="G21" s="121">
        <f>G20/F6</f>
        <v>1.2903003283842207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3769.9111843077517</v>
      </c>
      <c r="C22" s="122">
        <f>C20^2*PI()/4*C21</f>
        <v>3769.9111843077517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217884.0333755551</v>
      </c>
      <c r="C24" s="85" t="s">
        <v>136</v>
      </c>
      <c r="E24" s="96" t="s">
        <v>169</v>
      </c>
      <c r="F24" s="99">
        <f>F9</f>
        <v>279000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108942.01668777755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61115.966624444904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6*B27^2*PI()/4</f>
        <v>471.23889803846896</v>
      </c>
      <c r="C28" s="85" t="s">
        <v>175</v>
      </c>
      <c r="E28" s="96" t="s">
        <v>176</v>
      </c>
      <c r="F28" s="111">
        <f>MIN((B28*B7/(B8*0.062*SQRT(B5))),(B28*B7/(0.345*B8)),B12/2,600)</f>
        <v>195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496.17513660737097</v>
      </c>
      <c r="C29" s="104" t="s">
        <v>36</v>
      </c>
      <c r="D29" s="104"/>
      <c r="E29" s="105" t="s">
        <v>178</v>
      </c>
      <c r="F29" s="128">
        <f>MIN(B29,F28)</f>
        <v>195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3954599999.9999995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237.5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56544616.760596067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136.29646155918152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2560376908.4410329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0.23959583373133927</v>
      </c>
      <c r="D38" s="118">
        <f>$B$34/F10</f>
        <v>0.19770845021187436</v>
      </c>
      <c r="E38" s="118">
        <f>B34/F8</f>
        <v>1.1308923352119213</v>
      </c>
      <c r="F38" s="118">
        <f>B34/(F7+0.5*F8)</f>
        <v>0.21664604122833742</v>
      </c>
      <c r="G38" s="119">
        <f>MAX($B$34,($F$7+0.5*$F$8))</f>
        <v>261000000</v>
      </c>
    </row>
    <row r="39" spans="1:7" ht="18" customHeight="1" x14ac:dyDescent="0.45">
      <c r="A39" s="189" t="s">
        <v>193</v>
      </c>
      <c r="B39" s="190"/>
      <c r="C39" s="118">
        <f>C38^3*$B$32+(1-C38^3)*$B$36</f>
        <v>2579553439.8996105</v>
      </c>
      <c r="D39" s="118">
        <f>D38^3*$B$32+(1-D38^3)*$B$36</f>
        <v>2571151677.4076104</v>
      </c>
      <c r="E39" s="118">
        <f>$B$32*($B$34/E38)^3+(1-($B$34/E38)^3)*$B$36</f>
        <v>1.7427788644487081E+32</v>
      </c>
      <c r="F39" s="118">
        <f>$B$32*($B$34/F38)^3+(1-($B$34/F38)^3)*$B$36</f>
        <v>2.4788702388443062E+34</v>
      </c>
      <c r="G39" s="119">
        <f>$B$32*($B$34/G38)^3+(1-($B$34/G38)^3)*$B$36</f>
        <v>2574553915.1254764</v>
      </c>
    </row>
    <row r="40" spans="1:7" ht="18" customHeight="1" x14ac:dyDescent="0.45">
      <c r="A40" s="189" t="s">
        <v>194</v>
      </c>
      <c r="B40" s="190"/>
      <c r="C40" s="110">
        <f>(5/48)*$F$7*$B$10^2/($F$31*$C$39)</f>
        <v>5.9232182861618439</v>
      </c>
      <c r="D40" s="110">
        <f>(5/48)*$F$10*$B$10^2/($F$31*$C$39)</f>
        <v>7.1781374145859633</v>
      </c>
      <c r="E40" s="110">
        <f>D40-C40</f>
        <v>1.2549191284241195</v>
      </c>
      <c r="F40" s="110">
        <f>(5/48)*(F7+0.5*F8)*$B$10^2/($F$31*$C$39)</f>
        <v>6.5506778503739032</v>
      </c>
      <c r="G40" s="112">
        <f>F40-C40</f>
        <v>0.62745956421205928</v>
      </c>
    </row>
    <row r="41" spans="1:7" ht="18" customHeight="1" x14ac:dyDescent="0.45">
      <c r="A41" s="94" t="s">
        <v>195</v>
      </c>
      <c r="B41" s="110">
        <f>ROUNDDOWN(E40+(C40*F34)+(G40*F35),0)</f>
        <v>14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16.666666666666668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sheetPr codeName="Sheet59"/>
  <dimension ref="A1:R51"/>
  <sheetViews>
    <sheetView view="pageLayout" zoomScale="85" zoomScaleNormal="100" zoomScalePageLayoutView="85" workbookViewId="0">
      <selection activeCell="E4" sqref="A4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214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670*10^6</f>
        <v>670000000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535*10^6</f>
        <v>535000000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352*10^6</f>
        <v>352000000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71*10^6</f>
        <v>71000000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394*10^3</f>
        <v>394000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8000</v>
      </c>
      <c r="C10" s="98" t="s">
        <v>36</v>
      </c>
      <c r="E10" s="96" t="s">
        <v>139</v>
      </c>
      <c r="F10" s="99">
        <f>F7+F8</f>
        <v>423000000</v>
      </c>
      <c r="G10" s="97" t="s">
        <v>123</v>
      </c>
      <c r="J10" s="85" t="s">
        <v>140</v>
      </c>
      <c r="K10" s="85">
        <f>B8*B12</f>
        <v>493600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2.4443983292282034</v>
      </c>
      <c r="C15" s="110">
        <f>$F$6/($F$11*B8*B12^2)</f>
        <v>1.9518703076672967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6.6008830478687238E-3</v>
      </c>
      <c r="C16" s="114">
        <f>0.85*$B$5/$B$6*(1-SQRT(1-(2*C15/(0.85*$B$5))))</f>
        <v>5.2125732862365751E-3</v>
      </c>
      <c r="E16" s="96" t="s">
        <v>151</v>
      </c>
      <c r="F16" s="110">
        <f>B22*$B$6/(0.85*$B$5*$B$8)</f>
        <v>72.071831464707017</v>
      </c>
      <c r="G16" s="112">
        <f>C22*$B$6/(0.85*$B$5*$B$8)</f>
        <v>72.071831464707017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84.790389958478841</v>
      </c>
    </row>
    <row r="18" spans="1:18" ht="18" customHeight="1" x14ac:dyDescent="0.45">
      <c r="A18" s="94" t="s">
        <v>154</v>
      </c>
      <c r="B18" s="113">
        <f>MAX(B16:B17)</f>
        <v>6.6008830478687238E-3</v>
      </c>
      <c r="C18" s="114">
        <f>MAX(C16:C17)</f>
        <v>5.2125732862365751E-3</v>
      </c>
      <c r="E18" s="96" t="s">
        <v>155</v>
      </c>
      <c r="F18" s="115">
        <f>0.003*($B$12-F17)/F17</f>
        <v>1.8830304128880874E-2</v>
      </c>
      <c r="G18" s="116">
        <f>0.003*($B$12-G17)/G17</f>
        <v>1.8830304128880874E-2</v>
      </c>
    </row>
    <row r="19" spans="1:18" ht="18" customHeight="1" x14ac:dyDescent="0.45">
      <c r="A19" s="94" t="s">
        <v>156</v>
      </c>
      <c r="B19" s="110">
        <f>$K$10*B18</f>
        <v>3258.1958724280021</v>
      </c>
      <c r="C19" s="117">
        <f>$K$10*C18</f>
        <v>2572.9261740863735</v>
      </c>
      <c r="E19" s="96" t="s">
        <v>157</v>
      </c>
      <c r="F19" s="118">
        <f>B22*$B$6*($B$12-F16/2)</f>
        <v>854171369.59506762</v>
      </c>
      <c r="G19" s="119">
        <f>C22*$B$6*($B$12-G16/2)</f>
        <v>854171369.59506762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768754232.63556087</v>
      </c>
      <c r="G20" s="119">
        <f>$F$11*G19</f>
        <v>768754232.63556087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12</v>
      </c>
      <c r="C21" s="95">
        <v>12</v>
      </c>
      <c r="E21" s="96" t="s">
        <v>76</v>
      </c>
      <c r="F21" s="120">
        <f>F20/F5</f>
        <v>1.1473943770680013</v>
      </c>
      <c r="G21" s="121">
        <f>G20/F6</f>
        <v>1.4369237993188053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3769.9111843077517</v>
      </c>
      <c r="C22" s="123">
        <f>C20^2*PI()/4*C21</f>
        <v>3769.9111843077517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344703.71434030123</v>
      </c>
      <c r="C24" s="85" t="s">
        <v>136</v>
      </c>
      <c r="E24" s="96" t="s">
        <v>169</v>
      </c>
      <c r="F24" s="99">
        <f>F9</f>
        <v>394000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172351.85717015062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49296.285659698769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6*B27^2*PI()/4</f>
        <v>301.59289474462014</v>
      </c>
      <c r="C28" s="85" t="s">
        <v>175</v>
      </c>
      <c r="E28" s="96" t="s">
        <v>176</v>
      </c>
      <c r="F28" s="111">
        <f>MIN((B28*B7/(B8*0.062*SQRT(B5))),(B28*B7/(0.345*B8)),B12/2,600)</f>
        <v>240.40013349208849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622.83931210211335</v>
      </c>
      <c r="C29" s="104" t="s">
        <v>36</v>
      </c>
      <c r="D29" s="104"/>
      <c r="E29" s="105" t="s">
        <v>178</v>
      </c>
      <c r="F29" s="128">
        <f>MIN(B29,F28)</f>
        <v>240.40013349208849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15659007533.333332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8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8" ht="18" customHeight="1" x14ac:dyDescent="0.45">
      <c r="A34" s="94" t="s">
        <v>87</v>
      </c>
      <c r="B34" s="118">
        <f>F32*B32/B33</f>
        <v>151931737.87351421</v>
      </c>
      <c r="C34" s="85" t="s">
        <v>123</v>
      </c>
      <c r="E34" s="96" t="s">
        <v>183</v>
      </c>
      <c r="F34" s="99">
        <v>2</v>
      </c>
      <c r="G34" s="97"/>
    </row>
    <row r="35" spans="1:8" ht="18" customHeight="1" x14ac:dyDescent="0.45">
      <c r="A35" s="94" t="s">
        <v>184</v>
      </c>
      <c r="B35" s="110">
        <f>(-F33*C22+SQRT((F33*C22)^2+2*F33*B8*B12*C22))/B8</f>
        <v>179.07028545898919</v>
      </c>
      <c r="C35" s="85" t="s">
        <v>36</v>
      </c>
      <c r="E35" s="96" t="s">
        <v>185</v>
      </c>
      <c r="F35" s="99">
        <f>L8/(1+50*$K$11)</f>
        <v>1.8</v>
      </c>
      <c r="G35" s="97"/>
      <c r="H35" s="114">
        <f>MAX((SQRT($B$5)/(4*$B$6)),(1.4/$B$6))</f>
        <v>3.5897435897435893E-3</v>
      </c>
    </row>
    <row r="36" spans="1:8" ht="18" customHeight="1" x14ac:dyDescent="0.45">
      <c r="A36" s="94" t="s">
        <v>94</v>
      </c>
      <c r="B36" s="118">
        <f>($B$8*B35^3/3)+($F$33*C22*($B$12-B35)^2)</f>
        <v>7148317021.7841797</v>
      </c>
      <c r="C36" s="85" t="s">
        <v>182</v>
      </c>
      <c r="E36" s="127"/>
      <c r="G36" s="97"/>
      <c r="H36" s="114">
        <v>2E-3</v>
      </c>
    </row>
    <row r="37" spans="1:8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  <c r="H37" s="117">
        <f>$K$10*H36</f>
        <v>987.2</v>
      </c>
    </row>
    <row r="38" spans="1:8" ht="18" customHeight="1" x14ac:dyDescent="0.45">
      <c r="A38" s="189" t="s">
        <v>192</v>
      </c>
      <c r="B38" s="190"/>
      <c r="C38" s="118">
        <f>B34/F7</f>
        <v>0.43162425532248355</v>
      </c>
      <c r="D38" s="118">
        <f>$B$34/F10</f>
        <v>0.35917668528017543</v>
      </c>
      <c r="E38" s="118">
        <f>B34/F8</f>
        <v>2.139883632021327</v>
      </c>
      <c r="F38" s="118">
        <f>B34/(F7+0.5*F8)</f>
        <v>0.39208190418971406</v>
      </c>
      <c r="G38" s="119">
        <f>MAX($B$34,($F$7+0.5*$F$8))</f>
        <v>387500000</v>
      </c>
      <c r="H38" s="95">
        <v>20</v>
      </c>
    </row>
    <row r="39" spans="1:8" ht="18" customHeight="1" x14ac:dyDescent="0.45">
      <c r="A39" s="189" t="s">
        <v>193</v>
      </c>
      <c r="B39" s="190"/>
      <c r="C39" s="118">
        <f>C38^3*$B$32+(1-C38^3)*$B$36</f>
        <v>7832673407.5700541</v>
      </c>
      <c r="D39" s="118">
        <f>D38^3*$B$32+(1-D38^3)*$B$36</f>
        <v>7542673711.4345036</v>
      </c>
      <c r="E39" s="118">
        <f>$B$32*($B$34/E38)^3+(1-($B$34/E38)^3)*$B$36</f>
        <v>3.0460697516790683E+33</v>
      </c>
      <c r="F39" s="118">
        <f>$B$32*($B$34/F38)^3+(1-($B$34/F38)^3)*$B$36</f>
        <v>4.9519918169836092E+35</v>
      </c>
      <c r="G39" s="119">
        <f>$B$32*($B$34/G38)^3+(1-($B$34/G38)^3)*$B$36</f>
        <v>7661290833.3033028</v>
      </c>
      <c r="H39" s="95">
        <v>3</v>
      </c>
    </row>
    <row r="40" spans="1:8" ht="18" customHeight="1" x14ac:dyDescent="0.45">
      <c r="A40" s="189" t="s">
        <v>194</v>
      </c>
      <c r="B40" s="190"/>
      <c r="C40" s="110">
        <f>(5/48)*$F$7*$B$10^2/($F$31*$C$39)</f>
        <v>11.638121869251639</v>
      </c>
      <c r="D40" s="110">
        <f>(5/48)*$F$10*$B$10^2/($F$31*$C$39)</f>
        <v>13.985583950833643</v>
      </c>
      <c r="E40" s="110">
        <f>D40-C40</f>
        <v>2.3474620815820035</v>
      </c>
      <c r="F40" s="110">
        <f>(5/48)*(F7+0.5*F8)*$B$10^2/($F$31*$C$39)</f>
        <v>12.81185291004264</v>
      </c>
      <c r="G40" s="112">
        <f>F40-C40</f>
        <v>1.1737310407910009</v>
      </c>
      <c r="H40" s="123">
        <f>H38^2*PI()/4*H39</f>
        <v>942.47779607693792</v>
      </c>
    </row>
    <row r="41" spans="1:8" ht="18" customHeight="1" x14ac:dyDescent="0.45">
      <c r="A41" s="94" t="s">
        <v>195</v>
      </c>
      <c r="B41" s="110">
        <f>E40+(C40*F34)+(G40*F35)</f>
        <v>27.736421693509087</v>
      </c>
      <c r="C41" s="85" t="s">
        <v>36</v>
      </c>
      <c r="D41" s="191" t="str">
        <f>IF(B42&gt;B41,"OK","NO")</f>
        <v>OK</v>
      </c>
      <c r="G41" s="97"/>
    </row>
    <row r="42" spans="1:8" ht="18" customHeight="1" thickBot="1" x14ac:dyDescent="0.5">
      <c r="A42" s="130" t="s">
        <v>196</v>
      </c>
      <c r="B42" s="131">
        <f>$B$10/240</f>
        <v>33.333333333333336</v>
      </c>
      <c r="C42" s="132" t="s">
        <v>36</v>
      </c>
      <c r="D42" s="192"/>
      <c r="E42" s="132"/>
      <c r="F42" s="133"/>
      <c r="G42" s="134"/>
    </row>
    <row r="43" spans="1:8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sheetPr codeName="Sheet51"/>
  <dimension ref="A1:R61"/>
  <sheetViews>
    <sheetView topLeftCell="A16" zoomScaleNormal="100" workbookViewId="0">
      <selection activeCell="D28" sqref="D28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187*10^6</f>
        <v>187000000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165*10^6</f>
        <v>165000000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112*10^6</f>
        <v>112000000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250</v>
      </c>
      <c r="C8" s="98" t="s">
        <v>36</v>
      </c>
      <c r="E8" s="96" t="s">
        <v>132</v>
      </c>
      <c r="F8" s="95">
        <f>24*10^6</f>
        <v>24000000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v>115000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f>8000</f>
        <v>8000</v>
      </c>
      <c r="C10" s="98" t="s">
        <v>36</v>
      </c>
      <c r="E10" s="96" t="s">
        <v>139</v>
      </c>
      <c r="F10" s="99">
        <f>F7+F8</f>
        <v>136000000</v>
      </c>
      <c r="G10" s="97" t="s">
        <v>123</v>
      </c>
      <c r="J10" s="85" t="s">
        <v>140</v>
      </c>
      <c r="K10" s="85">
        <f>B8*B12</f>
        <v>160500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2.0164573109517354</v>
      </c>
      <c r="C15" s="110">
        <f>$F$6/($F$11*B8*B12^2)</f>
        <v>1.7792270390750606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5.3927971203284065E-3</v>
      </c>
      <c r="C16" s="114">
        <f>0.85*$B$5/$B$6*(1-SQRT(1-(2*C15/(0.85*$B$5))))</f>
        <v>4.7334577225070394E-3</v>
      </c>
      <c r="E16" s="96" t="s">
        <v>151</v>
      </c>
      <c r="F16" s="110">
        <f>B22*$B$6/(0.85*$B$5*$B$8)</f>
        <v>57.657465171765615</v>
      </c>
      <c r="G16" s="112">
        <f>C22*$B$6/(0.85*$B$5*$B$8)</f>
        <v>57.657465171765615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67.832311966783081</v>
      </c>
      <c r="G17" s="112">
        <f>G16/G15</f>
        <v>67.832311966783081</v>
      </c>
    </row>
    <row r="18" spans="1:18" ht="18" customHeight="1" x14ac:dyDescent="0.45">
      <c r="A18" s="94" t="s">
        <v>154</v>
      </c>
      <c r="B18" s="113">
        <f>MAX(B16:B17)</f>
        <v>5.3927971203284065E-3</v>
      </c>
      <c r="C18" s="114">
        <f>MAX(C16:C17)</f>
        <v>4.7334577225070394E-3</v>
      </c>
      <c r="E18" s="96" t="s">
        <v>155</v>
      </c>
      <c r="F18" s="115">
        <f>0.003*($B$12-F17)/F17</f>
        <v>2.5393547914792383E-2</v>
      </c>
      <c r="G18" s="116">
        <f>0.003*($B$12-G17)/G17</f>
        <v>2.5393547914792383E-2</v>
      </c>
    </row>
    <row r="19" spans="1:18" ht="18" customHeight="1" x14ac:dyDescent="0.45">
      <c r="A19" s="94" t="s">
        <v>156</v>
      </c>
      <c r="B19" s="110">
        <f>$K$10*B18</f>
        <v>865.54393781270926</v>
      </c>
      <c r="C19" s="117">
        <f>$K$10*C18</f>
        <v>759.71996446237983</v>
      </c>
      <c r="E19" s="96" t="s">
        <v>157</v>
      </c>
      <c r="F19" s="118">
        <f>B22*$B$6*($B$12-F16/2)</f>
        <v>225381118.84476238</v>
      </c>
      <c r="G19" s="119">
        <f>C22*$B$6*($B$12-G16/2)</f>
        <v>225381118.84476238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202843006.96028614</v>
      </c>
      <c r="G20" s="119">
        <f>$F$11*G19</f>
        <v>202843006.96028614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3</v>
      </c>
      <c r="C21" s="95">
        <v>3</v>
      </c>
      <c r="E21" s="96" t="s">
        <v>76</v>
      </c>
      <c r="F21" s="120">
        <f>F20/F5</f>
        <v>1.0847219623544713</v>
      </c>
      <c r="G21" s="121">
        <f>G20/F6</f>
        <v>1.2293515573350675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942.47779607693792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112084.57486146342</v>
      </c>
      <c r="C24" s="85" t="s">
        <v>136</v>
      </c>
      <c r="E24" s="96" t="s">
        <v>169</v>
      </c>
      <c r="F24" s="99">
        <f>F9</f>
        <v>115000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56042.287430731711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2915.4251385365787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256.42680905822778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3652.7245967214271</v>
      </c>
      <c r="C29" s="104" t="s">
        <v>36</v>
      </c>
      <c r="D29" s="104"/>
      <c r="E29" s="105" t="s">
        <v>178</v>
      </c>
      <c r="F29" s="128">
        <f>MIN(B29,F28)</f>
        <v>256.42680905822778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5512693500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53486985.176814444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166.83544720862622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2040195960.442318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0.47756236765012899</v>
      </c>
      <c r="D38" s="118">
        <f>$B$34/F10</f>
        <v>0.39328665571187094</v>
      </c>
      <c r="E38" s="118">
        <f>B34/F8</f>
        <v>2.2286243823672685</v>
      </c>
      <c r="F38" s="118">
        <f>B34/(F7+0.5*F8)</f>
        <v>0.43134665465172939</v>
      </c>
      <c r="G38" s="119">
        <f>MAX($B$34,($F$7+0.5*$F$8))</f>
        <v>124000000</v>
      </c>
    </row>
    <row r="39" spans="1:7" ht="18" customHeight="1" x14ac:dyDescent="0.45">
      <c r="A39" s="189" t="s">
        <v>193</v>
      </c>
      <c r="B39" s="190"/>
      <c r="C39" s="118">
        <f>C38^3*$B$32+(1-C38^3)*$B$36</f>
        <v>2418405289.1331725</v>
      </c>
      <c r="D39" s="118">
        <f>D38^3*$B$32+(1-D38^3)*$B$36</f>
        <v>2251432760.3461862</v>
      </c>
      <c r="E39" s="118">
        <f>$B$32*($B$34/E38)^3+(1-($B$34/E38)^3)*$B$36</f>
        <v>4.8003805986845393E+31</v>
      </c>
      <c r="F39" s="118">
        <f>$B$32*($B$34/F38)^3+(1-($B$34/F38)^3)*$B$36</f>
        <v>6.6207471488616243E+33</v>
      </c>
      <c r="G39" s="119">
        <f>$B$32*($B$34/G38)^3+(1-($B$34/G38)^3)*$B$36</f>
        <v>2318885872.9468207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11.993313727375931</v>
      </c>
      <c r="D40" s="110">
        <f>(5/48)*$F$10*$B$10^2/($F$31*$C$39)</f>
        <v>14.563309526099346</v>
      </c>
      <c r="E40" s="110">
        <f>D40-C40</f>
        <v>2.569995798723415</v>
      </c>
      <c r="F40" s="110">
        <f>(5/48)*(F7+0.5*F8)*$B$10^2/($F$31*$C$39)</f>
        <v>13.278311626737638</v>
      </c>
      <c r="G40" s="112">
        <f>F40-C40</f>
        <v>1.2849978993617075</v>
      </c>
    </row>
    <row r="41" spans="1:7" ht="18" customHeight="1" x14ac:dyDescent="0.45">
      <c r="A41" s="94" t="s">
        <v>195</v>
      </c>
      <c r="B41" s="110">
        <f>E40+(C40*F34)+(G40*F35)</f>
        <v>28.869619472326349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33.333333333333336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8" ht="18" customHeight="1" x14ac:dyDescent="0.35">
      <c r="A50" s="135"/>
      <c r="B50" s="136"/>
      <c r="C50" s="135"/>
    </row>
    <row r="51" spans="1:8" ht="18" customHeight="1" x14ac:dyDescent="0.35">
      <c r="A51" s="135"/>
      <c r="B51" s="136"/>
      <c r="C51" s="135"/>
    </row>
    <row r="61" spans="1:8" ht="18" customHeight="1" x14ac:dyDescent="0.45">
      <c r="H61" s="93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sheetPr codeName="Sheet73"/>
  <dimension ref="A1:R61"/>
  <sheetViews>
    <sheetView view="pageLayout" topLeftCell="A16" zoomScaleNormal="100" workbookViewId="0">
      <selection activeCell="G42" sqref="A3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216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96*10^6</f>
        <v>96000000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58*10^6</f>
        <v>58000000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37*10^6</f>
        <v>37000000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250</v>
      </c>
      <c r="C8" s="98" t="s">
        <v>36</v>
      </c>
      <c r="E8" s="96" t="s">
        <v>132</v>
      </c>
      <c r="F8" s="95">
        <f>14*10^6</f>
        <v>14000000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v>64000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9860</v>
      </c>
      <c r="C10" s="98" t="s">
        <v>36</v>
      </c>
      <c r="E10" s="96" t="s">
        <v>139</v>
      </c>
      <c r="F10" s="99">
        <f>F7+F8</f>
        <v>51000000</v>
      </c>
      <c r="G10" s="97" t="s">
        <v>123</v>
      </c>
      <c r="J10" s="85" t="s">
        <v>140</v>
      </c>
      <c r="K10" s="85">
        <f>B8*B12</f>
        <v>148000</v>
      </c>
    </row>
    <row r="11" spans="1:17" ht="18" customHeight="1" x14ac:dyDescent="0.45">
      <c r="A11" s="94" t="s">
        <v>141</v>
      </c>
      <c r="B11" s="95">
        <f>40+50</f>
        <v>90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592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1.2174336498660823</v>
      </c>
      <c r="C15" s="110">
        <f>$F$6/($F$11*B8*B12^2)</f>
        <v>0.73553283012742476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3.1999270556580892E-3</v>
      </c>
      <c r="C16" s="114">
        <f>0.85*$B$5/$B$6*(1-SQRT(1-(2*C15/(0.85*$B$5))))</f>
        <v>1.9139956943791819E-3</v>
      </c>
      <c r="E16" s="96" t="s">
        <v>151</v>
      </c>
      <c r="F16" s="110">
        <f>B22*$B$6/(0.85*$B$5*$B$8)</f>
        <v>38.438310114510415</v>
      </c>
      <c r="G16" s="112">
        <f>C22*$B$6/(0.85*$B$5*$B$8)</f>
        <v>38.438310114510415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45.221541311188723</v>
      </c>
      <c r="G17" s="112">
        <f>G16/G15</f>
        <v>45.221541311188723</v>
      </c>
    </row>
    <row r="18" spans="1:18" ht="18" customHeight="1" x14ac:dyDescent="0.45">
      <c r="A18" s="94" t="s">
        <v>154</v>
      </c>
      <c r="B18" s="113">
        <f>MAX(B16:B17)</f>
        <v>3.5897435897435893E-3</v>
      </c>
      <c r="C18" s="114">
        <f>MAX(C16:C17)</f>
        <v>3.5897435897435893E-3</v>
      </c>
      <c r="E18" s="96" t="s">
        <v>155</v>
      </c>
      <c r="F18" s="115">
        <f>0.003*($B$12-F17)/F17</f>
        <v>3.6273318611114692E-2</v>
      </c>
      <c r="G18" s="116">
        <f>0.003*($B$12-G17)/G17</f>
        <v>3.6273318611114692E-2</v>
      </c>
    </row>
    <row r="19" spans="1:18" ht="18" customHeight="1" x14ac:dyDescent="0.45">
      <c r="A19" s="94" t="s">
        <v>156</v>
      </c>
      <c r="B19" s="110">
        <f>$K$10*B18</f>
        <v>531.28205128205127</v>
      </c>
      <c r="C19" s="117">
        <f>$K$10*C18</f>
        <v>531.28205128205127</v>
      </c>
      <c r="E19" s="96" t="s">
        <v>157</v>
      </c>
      <c r="F19" s="118">
        <f>B22*$B$6*($B$12-F16/2)</f>
        <v>140356639.37794837</v>
      </c>
      <c r="G19" s="119">
        <f>C22*$B$6*($B$12-G16/2)</f>
        <v>140356639.37794837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126320975.44015354</v>
      </c>
      <c r="G20" s="119">
        <f>$F$11*G19</f>
        <v>126320975.44015354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2</v>
      </c>
      <c r="C21" s="95">
        <v>2</v>
      </c>
      <c r="E21" s="96" t="s">
        <v>76</v>
      </c>
      <c r="F21" s="120">
        <f>F20/F5</f>
        <v>1.315843494168266</v>
      </c>
      <c r="G21" s="121">
        <f>G20/F6</f>
        <v>2.1779478524164402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628.31853071795865</v>
      </c>
      <c r="C22" s="123">
        <f>C20^2*PI()/4*C21</f>
        <v>628.31853071795865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103355.24660122483</v>
      </c>
      <c r="C24" s="85" t="s">
        <v>136</v>
      </c>
      <c r="E24" s="96" t="s">
        <v>169</v>
      </c>
      <c r="F24" s="99">
        <f>F9</f>
        <v>64000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51677.623300612417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256.42680905822778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256.42680905822778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4322389333.333333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41938042.483301647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133.77099857922082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1224465106.9636006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1.1334606076568012</v>
      </c>
      <c r="D38" s="118">
        <f>$B$34/F10</f>
        <v>0.82231455849611068</v>
      </c>
      <c r="E38" s="118">
        <f>B34/F8</f>
        <v>2.9955744630929746</v>
      </c>
      <c r="F38" s="118">
        <f>B34/(F7+0.5*F8)</f>
        <v>0.95313732916594651</v>
      </c>
      <c r="G38" s="119">
        <f>MAX($B$34,($F$7+0.5*$F$8))</f>
        <v>44000000</v>
      </c>
    </row>
    <row r="39" spans="1:7" ht="18" customHeight="1" x14ac:dyDescent="0.45">
      <c r="A39" s="189" t="s">
        <v>193</v>
      </c>
      <c r="B39" s="190"/>
      <c r="C39" s="118">
        <f>C38^3*$B$32+(1-C38^3)*$B$36</f>
        <v>5735644363.9064951</v>
      </c>
      <c r="D39" s="118">
        <f>D38^3*$B$32+(1-D38^3)*$B$36</f>
        <v>2947066240.0265131</v>
      </c>
      <c r="E39" s="118">
        <f>$B$32*($B$34/E38)^3+(1-($B$34/E38)^3)*$B$36</f>
        <v>8.5007040771585473E+30</v>
      </c>
      <c r="F39" s="118">
        <f>$B$32*($B$34/F38)^3+(1-($B$34/F38)^3)*$B$36</f>
        <v>2.6389357729907929E+32</v>
      </c>
      <c r="G39" s="119">
        <f>$B$32*($B$34/G38)^3+(1-($B$34/G38)^3)*$B$36</f>
        <v>3906949645.1624227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2.5377195205581917</v>
      </c>
      <c r="D40" s="110">
        <f>(5/48)*$F$10*$B$10^2/($F$31*$C$39)</f>
        <v>3.4979377175261561</v>
      </c>
      <c r="E40" s="110">
        <f>D40-C40</f>
        <v>0.9602181969679644</v>
      </c>
      <c r="F40" s="110">
        <f>(5/48)*(F7+0.5*F8)*$B$10^2/($F$31*$C$39)</f>
        <v>3.0178286190421741</v>
      </c>
      <c r="G40" s="112">
        <f>F40-C40</f>
        <v>0.48010909848398242</v>
      </c>
    </row>
    <row r="41" spans="1:7" ht="18" customHeight="1" x14ac:dyDescent="0.45">
      <c r="A41" s="94" t="s">
        <v>195</v>
      </c>
      <c r="B41" s="110">
        <f>E40+(C40*F34)+(G40*F35)</f>
        <v>6.8998536153555161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41.083333333333336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8" ht="18" customHeight="1" x14ac:dyDescent="0.35">
      <c r="A50" s="135"/>
      <c r="B50" s="136"/>
      <c r="C50" s="135"/>
    </row>
    <row r="51" spans="1:8" ht="18" customHeight="1" x14ac:dyDescent="0.35">
      <c r="A51" s="135"/>
      <c r="B51" s="136"/>
      <c r="C51" s="135"/>
    </row>
    <row r="61" spans="1:8" ht="18" customHeight="1" x14ac:dyDescent="0.45">
      <c r="H61" s="93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sheetPr codeName="Sheet52"/>
  <dimension ref="A1:Q130"/>
  <sheetViews>
    <sheetView topLeftCell="A38" zoomScale="85" zoomScaleNormal="85" workbookViewId="0">
      <selection activeCell="B12" sqref="B12"/>
    </sheetView>
  </sheetViews>
  <sheetFormatPr defaultColWidth="9.1328125" defaultRowHeight="14.25" x14ac:dyDescent="0.45"/>
  <cols>
    <col min="1" max="2" width="10" style="4" customWidth="1"/>
    <col min="3" max="3" width="10.86328125" style="4" customWidth="1"/>
    <col min="4" max="4" width="11.265625" style="4" customWidth="1"/>
    <col min="5" max="5" width="11.3984375" style="4" customWidth="1"/>
    <col min="6" max="6" width="12.73046875" style="4" customWidth="1"/>
    <col min="7" max="8" width="13.73046875" style="4" customWidth="1"/>
    <col min="9" max="12" width="15.73046875" style="3" customWidth="1"/>
    <col min="13" max="13" width="13.73046875" style="4" bestFit="1" customWidth="1"/>
    <col min="14" max="14" width="12.59765625" style="4" bestFit="1" customWidth="1"/>
    <col min="15" max="15" width="12.3984375" style="4" customWidth="1"/>
    <col min="16" max="16" width="13.73046875" style="4" customWidth="1"/>
    <col min="17" max="16384" width="9.1328125" style="4"/>
  </cols>
  <sheetData>
    <row r="1" spans="1:17" ht="19.5" customHeight="1" thickBot="1" x14ac:dyDescent="0.5">
      <c r="A1" s="144" t="s">
        <v>218</v>
      </c>
      <c r="B1" s="144"/>
      <c r="C1" s="144"/>
      <c r="D1" s="144"/>
      <c r="E1" s="144"/>
      <c r="F1" s="144"/>
      <c r="G1" s="144"/>
      <c r="H1" s="1"/>
      <c r="I1" s="2"/>
      <c r="J1" s="2"/>
    </row>
    <row r="2" spans="1:17" ht="15.75" x14ac:dyDescent="0.5">
      <c r="A2" s="145"/>
      <c r="B2" s="146"/>
      <c r="C2" s="147"/>
      <c r="D2" s="5"/>
      <c r="E2" s="6"/>
      <c r="F2" s="148"/>
      <c r="G2" s="149"/>
      <c r="I2" s="7"/>
      <c r="J2" s="7" t="str">
        <f>IF(K3&lt;2, "Two Way Slab", "One way Slab")</f>
        <v>Two Way Slab</v>
      </c>
      <c r="K2" s="7"/>
      <c r="L2" s="7"/>
      <c r="N2" s="4" t="s">
        <v>0</v>
      </c>
    </row>
    <row r="3" spans="1:17" ht="14.25" customHeight="1" x14ac:dyDescent="0.45">
      <c r="A3" s="8"/>
      <c r="B3" s="9" t="s">
        <v>1</v>
      </c>
      <c r="F3" s="9" t="s">
        <v>2</v>
      </c>
      <c r="G3" s="10"/>
      <c r="I3" s="7"/>
      <c r="J3" s="7" t="s">
        <v>3</v>
      </c>
      <c r="K3" s="7">
        <f>F5/F4</f>
        <v>1.3725490196078431</v>
      </c>
      <c r="L3" s="7"/>
    </row>
    <row r="4" spans="1:17" ht="14.25" customHeight="1" x14ac:dyDescent="0.45">
      <c r="A4" s="11" t="s">
        <v>4</v>
      </c>
      <c r="B4" s="12">
        <v>390</v>
      </c>
      <c r="C4" s="13" t="s">
        <v>5</v>
      </c>
      <c r="E4" s="14" t="s">
        <v>6</v>
      </c>
      <c r="F4" s="15">
        <v>5.0999999999999996</v>
      </c>
      <c r="G4" s="10" t="s">
        <v>7</v>
      </c>
      <c r="I4" s="7"/>
      <c r="J4" s="7" t="s">
        <v>8</v>
      </c>
      <c r="K4" s="7"/>
      <c r="L4" s="7"/>
    </row>
    <row r="5" spans="1:17" ht="14.25" customHeight="1" x14ac:dyDescent="0.45">
      <c r="A5" s="11" t="s">
        <v>9</v>
      </c>
      <c r="B5" s="12">
        <v>200000</v>
      </c>
      <c r="C5" s="13" t="s">
        <v>5</v>
      </c>
      <c r="E5" s="14" t="s">
        <v>10</v>
      </c>
      <c r="F5" s="15">
        <v>7</v>
      </c>
      <c r="G5" s="10" t="s">
        <v>7</v>
      </c>
      <c r="I5" s="7" t="s">
        <v>11</v>
      </c>
      <c r="J5" s="7" t="s">
        <v>12</v>
      </c>
      <c r="K5" s="16">
        <v>0.2</v>
      </c>
      <c r="L5" s="17" t="s">
        <v>7</v>
      </c>
    </row>
    <row r="6" spans="1:17" ht="14.25" customHeight="1" x14ac:dyDescent="0.45">
      <c r="A6" s="11" t="s">
        <v>13</v>
      </c>
      <c r="B6" s="12">
        <v>30</v>
      </c>
      <c r="C6" s="13" t="s">
        <v>5</v>
      </c>
      <c r="E6" s="14" t="s">
        <v>14</v>
      </c>
      <c r="F6" s="18">
        <f>K14/180</f>
        <v>0.13444444444444445</v>
      </c>
      <c r="G6" s="10" t="s">
        <v>7</v>
      </c>
      <c r="I6" s="7"/>
      <c r="J6" s="7" t="s">
        <v>15</v>
      </c>
      <c r="K6" s="16">
        <v>0.4</v>
      </c>
      <c r="L6" s="17" t="s">
        <v>7</v>
      </c>
    </row>
    <row r="7" spans="1:17" ht="17.25" customHeight="1" x14ac:dyDescent="0.45">
      <c r="A7" s="11" t="s">
        <v>16</v>
      </c>
      <c r="B7" s="12">
        <v>25</v>
      </c>
      <c r="C7" s="13" t="s">
        <v>17</v>
      </c>
      <c r="E7" s="14" t="s">
        <v>18</v>
      </c>
      <c r="F7" s="19">
        <v>0.25</v>
      </c>
      <c r="G7" s="10" t="s">
        <v>7</v>
      </c>
      <c r="I7" s="7" t="s">
        <v>19</v>
      </c>
      <c r="J7" s="7" t="s">
        <v>20</v>
      </c>
      <c r="K7" s="16">
        <v>0.2</v>
      </c>
      <c r="L7" s="17" t="s">
        <v>7</v>
      </c>
    </row>
    <row r="8" spans="1:17" ht="16.5" customHeight="1" x14ac:dyDescent="0.45">
      <c r="A8" s="8"/>
      <c r="B8" s="14"/>
      <c r="C8" s="13"/>
      <c r="D8" s="13"/>
      <c r="E8" s="14" t="s">
        <v>21</v>
      </c>
      <c r="F8" s="15">
        <v>1</v>
      </c>
      <c r="G8" s="10" t="s">
        <v>7</v>
      </c>
      <c r="I8" s="7"/>
      <c r="J8" s="7" t="s">
        <v>22</v>
      </c>
      <c r="K8" s="16">
        <v>0.4</v>
      </c>
      <c r="L8" s="17" t="s">
        <v>7</v>
      </c>
      <c r="N8" s="4" t="s">
        <v>23</v>
      </c>
    </row>
    <row r="9" spans="1:17" ht="16.5" customHeight="1" x14ac:dyDescent="0.45">
      <c r="A9" s="8"/>
      <c r="B9" s="14"/>
      <c r="C9" s="13"/>
      <c r="D9" s="13"/>
      <c r="E9" s="14" t="s">
        <v>24</v>
      </c>
      <c r="F9" s="15">
        <v>2.5000000000000001E-2</v>
      </c>
      <c r="G9" s="10" t="s">
        <v>7</v>
      </c>
      <c r="I9" s="7"/>
      <c r="J9" s="7" t="s">
        <v>25</v>
      </c>
      <c r="K9" s="20">
        <f>F4</f>
        <v>5.0999999999999996</v>
      </c>
      <c r="L9" s="17" t="s">
        <v>7</v>
      </c>
      <c r="O9" s="3"/>
      <c r="P9" s="3"/>
      <c r="Q9" s="3"/>
    </row>
    <row r="10" spans="1:17" ht="14.25" customHeight="1" x14ac:dyDescent="0.45">
      <c r="A10" s="150" t="s">
        <v>26</v>
      </c>
      <c r="B10" s="151"/>
      <c r="C10" s="151"/>
      <c r="D10" s="15" t="s">
        <v>27</v>
      </c>
      <c r="E10" s="9"/>
      <c r="F10" s="15" t="s">
        <v>28</v>
      </c>
      <c r="G10" s="10"/>
      <c r="I10" s="7"/>
      <c r="J10" s="7" t="s">
        <v>29</v>
      </c>
      <c r="K10" s="20">
        <f>F5</f>
        <v>7</v>
      </c>
      <c r="L10" s="17" t="s">
        <v>7</v>
      </c>
      <c r="O10" s="3"/>
      <c r="P10" s="3"/>
      <c r="Q10" s="3"/>
    </row>
    <row r="11" spans="1:17" ht="15" customHeight="1" x14ac:dyDescent="0.45">
      <c r="A11" s="152" t="s">
        <v>30</v>
      </c>
      <c r="B11" s="3">
        <f>40+0</f>
        <v>40</v>
      </c>
      <c r="C11" s="15"/>
      <c r="D11" s="153">
        <f>C11+C12</f>
        <v>0</v>
      </c>
      <c r="E11" s="154" t="s">
        <v>31</v>
      </c>
      <c r="F11" s="155"/>
      <c r="G11" s="10"/>
      <c r="I11" s="7"/>
      <c r="J11" s="7" t="s">
        <v>32</v>
      </c>
      <c r="K11" s="21">
        <f>F7</f>
        <v>0.25</v>
      </c>
      <c r="L11" s="17" t="s">
        <v>7</v>
      </c>
      <c r="O11" s="3"/>
      <c r="P11" s="3"/>
      <c r="Q11" s="3"/>
    </row>
    <row r="12" spans="1:17" ht="15" customHeight="1" x14ac:dyDescent="0.45">
      <c r="A12" s="152"/>
      <c r="B12" s="3">
        <f>B9-B11-$B$27-(B20/2)</f>
        <v>-40</v>
      </c>
      <c r="C12" s="3"/>
      <c r="D12" s="153"/>
      <c r="E12" s="154"/>
      <c r="F12" s="155"/>
      <c r="G12" s="10"/>
      <c r="I12" s="7"/>
      <c r="J12" s="7" t="s">
        <v>33</v>
      </c>
      <c r="K12" s="20">
        <f>F9</f>
        <v>2.5000000000000001E-2</v>
      </c>
      <c r="L12" s="17" t="s">
        <v>7</v>
      </c>
      <c r="O12" s="3"/>
      <c r="P12" s="3"/>
      <c r="Q12" s="3"/>
    </row>
    <row r="13" spans="1:17" ht="20.25" customHeight="1" x14ac:dyDescent="0.45">
      <c r="A13" s="11" t="s">
        <v>34</v>
      </c>
      <c r="D13" s="15">
        <v>1.92</v>
      </c>
      <c r="E13" s="13" t="s">
        <v>31</v>
      </c>
      <c r="F13" s="15"/>
      <c r="G13" s="10"/>
      <c r="I13" s="7"/>
      <c r="J13" s="7" t="s">
        <v>35</v>
      </c>
      <c r="K13" s="16">
        <v>10</v>
      </c>
      <c r="L13" s="17" t="s">
        <v>36</v>
      </c>
      <c r="O13" s="3"/>
      <c r="P13" s="3"/>
      <c r="Q13" s="3"/>
    </row>
    <row r="14" spans="1:17" ht="15" customHeight="1" x14ac:dyDescent="0.45">
      <c r="A14" s="11" t="s">
        <v>37</v>
      </c>
      <c r="B14" s="3"/>
      <c r="C14" s="13" t="s">
        <v>31</v>
      </c>
      <c r="G14" s="10"/>
      <c r="I14" s="7"/>
      <c r="J14" s="7" t="s">
        <v>38</v>
      </c>
      <c r="K14" s="7">
        <f>(F4+F5)*2</f>
        <v>24.2</v>
      </c>
      <c r="L14" s="7"/>
      <c r="N14" s="4" t="s">
        <v>39</v>
      </c>
      <c r="P14" s="3"/>
      <c r="Q14" s="3"/>
    </row>
    <row r="15" spans="1:17" ht="15" customHeight="1" x14ac:dyDescent="0.45">
      <c r="A15" s="11"/>
      <c r="B15" s="3"/>
      <c r="C15" s="13"/>
      <c r="D15" s="153"/>
      <c r="E15" s="153"/>
      <c r="F15" s="153"/>
      <c r="G15" s="158"/>
      <c r="I15" s="7"/>
      <c r="J15" s="7" t="s">
        <v>40</v>
      </c>
      <c r="K15" s="22">
        <f>$K$9/30</f>
        <v>0.16999999999999998</v>
      </c>
      <c r="L15" s="7"/>
      <c r="Q15" s="3"/>
    </row>
    <row r="16" spans="1:17" ht="15" customHeight="1" x14ac:dyDescent="0.45">
      <c r="A16" s="11"/>
      <c r="B16" s="3"/>
      <c r="C16" s="13"/>
      <c r="D16" s="153"/>
      <c r="E16" s="153"/>
      <c r="F16" s="153"/>
      <c r="G16" s="158"/>
      <c r="I16" s="7"/>
      <c r="J16" s="7"/>
      <c r="K16" s="22">
        <f>$K$9/50</f>
        <v>0.10199999999999999</v>
      </c>
      <c r="L16" s="7"/>
      <c r="Q16" s="3"/>
    </row>
    <row r="17" spans="1:17" ht="15" customHeight="1" x14ac:dyDescent="0.45">
      <c r="A17" s="11"/>
      <c r="B17" s="3"/>
      <c r="C17" s="13"/>
      <c r="D17" s="153"/>
      <c r="E17" s="153"/>
      <c r="F17" s="153"/>
      <c r="G17" s="158"/>
      <c r="I17" s="7"/>
      <c r="J17" s="7" t="s">
        <v>41</v>
      </c>
      <c r="K17" s="7">
        <f>B22*B14*F4^2</f>
        <v>0</v>
      </c>
      <c r="L17" s="7"/>
    </row>
    <row r="18" spans="1:17" ht="15" customHeight="1" x14ac:dyDescent="0.45">
      <c r="A18" s="8"/>
      <c r="D18" s="153"/>
      <c r="E18" s="153"/>
      <c r="F18" s="153"/>
      <c r="G18" s="158"/>
      <c r="I18" s="7"/>
      <c r="J18" s="7" t="s">
        <v>42</v>
      </c>
      <c r="K18" s="7">
        <f>B23*B14*F5^2</f>
        <v>0</v>
      </c>
      <c r="L18" s="7"/>
    </row>
    <row r="19" spans="1:17" ht="14.25" customHeight="1" x14ac:dyDescent="0.45">
      <c r="A19" s="23" t="s">
        <v>43</v>
      </c>
      <c r="D19" s="153"/>
      <c r="E19" s="153"/>
      <c r="F19" s="153"/>
      <c r="G19" s="158"/>
      <c r="I19" s="7"/>
      <c r="J19" s="7" t="s">
        <v>44</v>
      </c>
      <c r="K19" s="7">
        <f>$F$11*E22*$D$11*F4^2+$F$13*$D$13*G22*F4^2</f>
        <v>0</v>
      </c>
      <c r="L19" s="7"/>
    </row>
    <row r="20" spans="1:17" ht="14.25" customHeight="1" x14ac:dyDescent="0.45">
      <c r="A20" s="159" t="s">
        <v>45</v>
      </c>
      <c r="B20" s="153"/>
      <c r="C20" s="24"/>
      <c r="D20" s="153"/>
      <c r="E20" s="153"/>
      <c r="F20" s="153"/>
      <c r="G20" s="158"/>
      <c r="I20" s="7"/>
      <c r="J20" s="7" t="s">
        <v>46</v>
      </c>
      <c r="K20" s="7">
        <f>$F$11*E23*$D$11*F5^2+$F$13*$D$13*G23*F5^2</f>
        <v>0</v>
      </c>
      <c r="L20" s="7"/>
    </row>
    <row r="21" spans="1:17" ht="16.5" customHeight="1" x14ac:dyDescent="0.45">
      <c r="A21" s="159" t="s">
        <v>47</v>
      </c>
      <c r="B21" s="153"/>
      <c r="C21" s="15"/>
      <c r="D21" s="3"/>
      <c r="G21" s="10"/>
      <c r="I21" s="7"/>
      <c r="J21" s="17" t="s">
        <v>48</v>
      </c>
      <c r="K21" s="7"/>
      <c r="L21" s="7"/>
    </row>
    <row r="22" spans="1:17" ht="16.5" customHeight="1" x14ac:dyDescent="0.45">
      <c r="A22" s="25" t="s">
        <v>49</v>
      </c>
      <c r="B22" s="160"/>
      <c r="C22" s="160"/>
      <c r="D22" s="3" t="s">
        <v>50</v>
      </c>
      <c r="E22" s="18"/>
      <c r="F22" s="3" t="s">
        <v>51</v>
      </c>
      <c r="G22" s="26"/>
      <c r="I22" s="7"/>
      <c r="J22" s="7" t="s">
        <v>52</v>
      </c>
      <c r="K22" s="7">
        <f>F4/F5</f>
        <v>0.72857142857142854</v>
      </c>
      <c r="L22" s="7"/>
    </row>
    <row r="23" spans="1:17" ht="18.75" customHeight="1" x14ac:dyDescent="0.45">
      <c r="A23" s="25" t="s">
        <v>53</v>
      </c>
      <c r="B23" s="160"/>
      <c r="C23" s="160"/>
      <c r="D23" s="3" t="s">
        <v>54</v>
      </c>
      <c r="E23" s="18"/>
      <c r="F23" s="3" t="s">
        <v>55</v>
      </c>
      <c r="G23" s="26"/>
      <c r="H23" s="27"/>
      <c r="I23" s="7"/>
      <c r="J23" s="7" t="s">
        <v>56</v>
      </c>
      <c r="K23" s="7">
        <f>$B$14/(1+K22^4)</f>
        <v>0</v>
      </c>
      <c r="L23" s="7" t="s">
        <v>31</v>
      </c>
    </row>
    <row r="24" spans="1:17" ht="18.75" customHeight="1" x14ac:dyDescent="0.45">
      <c r="A24" s="161" t="s">
        <v>57</v>
      </c>
      <c r="B24" s="162"/>
      <c r="C24" s="162"/>
      <c r="D24" s="3" t="s">
        <v>58</v>
      </c>
      <c r="E24" s="3" t="s">
        <v>59</v>
      </c>
      <c r="F24" s="3" t="s">
        <v>60</v>
      </c>
      <c r="G24" s="28" t="s">
        <v>61</v>
      </c>
      <c r="H24" s="29"/>
      <c r="I24" s="7"/>
      <c r="J24" s="7" t="s">
        <v>62</v>
      </c>
      <c r="K24" s="7">
        <f>$B$14*(K22^4/(1+K22^4))</f>
        <v>0</v>
      </c>
      <c r="L24" s="7" t="s">
        <v>31</v>
      </c>
    </row>
    <row r="25" spans="1:17" ht="18" customHeight="1" x14ac:dyDescent="0.45">
      <c r="A25" s="161"/>
      <c r="B25" s="162"/>
      <c r="C25" s="162"/>
      <c r="D25" s="24">
        <v>125</v>
      </c>
      <c r="E25" s="24">
        <v>10</v>
      </c>
      <c r="F25" s="24">
        <v>96</v>
      </c>
      <c r="G25" s="30">
        <v>80</v>
      </c>
      <c r="H25" s="29"/>
      <c r="I25" s="7"/>
      <c r="J25" s="7"/>
      <c r="K25" s="7">
        <f>B49*D39/1000</f>
        <v>0.15620731123868528</v>
      </c>
      <c r="L25" s="7"/>
    </row>
    <row r="26" spans="1:17" ht="14.25" customHeight="1" x14ac:dyDescent="0.45">
      <c r="A26" s="159" t="s">
        <v>63</v>
      </c>
      <c r="B26" s="153"/>
      <c r="C26" s="153"/>
      <c r="D26" s="31">
        <f>$F$7-$K$12-($K$13/2/1000)</f>
        <v>0.22</v>
      </c>
      <c r="E26" s="31">
        <f>$F$7-$K$12-($K$13/2/1000)</f>
        <v>0.22</v>
      </c>
      <c r="F26" s="31">
        <f>$F$7-$K$12-($K$13/2/1000)-(K13/1000)</f>
        <v>0.21</v>
      </c>
      <c r="G26" s="32">
        <f>$F$7-$K$12-($K$13/2/1000)-(K13/1000)</f>
        <v>0.21</v>
      </c>
      <c r="H26" s="29"/>
    </row>
    <row r="27" spans="1:17" ht="18" customHeight="1" x14ac:dyDescent="0.45">
      <c r="A27" s="159" t="s">
        <v>64</v>
      </c>
      <c r="B27" s="153"/>
      <c r="C27" s="153"/>
      <c r="D27" s="27">
        <f>F8*D25</f>
        <v>125</v>
      </c>
      <c r="E27" s="27">
        <f>$F$8*E25</f>
        <v>10</v>
      </c>
      <c r="F27" s="27">
        <f>F25*$F$8</f>
        <v>96</v>
      </c>
      <c r="G27" s="33">
        <f>F8*$G$25</f>
        <v>80</v>
      </c>
      <c r="H27" s="29"/>
      <c r="I27" s="7"/>
      <c r="J27" s="34">
        <f>C20</f>
        <v>0</v>
      </c>
      <c r="K27" s="7">
        <v>0.9</v>
      </c>
      <c r="L27" s="7">
        <v>0.85</v>
      </c>
      <c r="N27" s="4">
        <f>2500*3+1500</f>
        <v>9000</v>
      </c>
    </row>
    <row r="28" spans="1:17" ht="12" customHeight="1" x14ac:dyDescent="0.45">
      <c r="A28" s="159" t="s">
        <v>65</v>
      </c>
      <c r="B28" s="153"/>
      <c r="C28" s="153"/>
      <c r="D28" s="27">
        <f>D27/0.9</f>
        <v>138.88888888888889</v>
      </c>
      <c r="E28" s="27">
        <f>E27/0.9</f>
        <v>11.111111111111111</v>
      </c>
      <c r="F28" s="27">
        <f>F27/0.9</f>
        <v>106.66666666666666</v>
      </c>
      <c r="G28" s="33">
        <f>G27/0.9</f>
        <v>88.888888888888886</v>
      </c>
      <c r="H28" s="29"/>
      <c r="I28" s="7" t="str">
        <f>A22</f>
        <v>Caneg=</v>
      </c>
      <c r="J28" s="7">
        <f>L28+(K28-L28)/(K27-L27)*(K27-J27)</f>
        <v>-2.9999999999999888E-2</v>
      </c>
      <c r="K28" s="35">
        <v>5.5E-2</v>
      </c>
      <c r="L28" s="35">
        <v>0.06</v>
      </c>
    </row>
    <row r="29" spans="1:17" x14ac:dyDescent="0.45">
      <c r="A29" s="159" t="s">
        <v>66</v>
      </c>
      <c r="B29" s="153"/>
      <c r="C29" s="153"/>
      <c r="D29" s="27">
        <f>D28/(F8*D26^2)/1000</f>
        <v>2.8696051423324151</v>
      </c>
      <c r="E29" s="27">
        <f>E28/($F$8*E26^2)/1000</f>
        <v>0.2295684113865932</v>
      </c>
      <c r="F29" s="27">
        <f>F28/($F$8*F26^2)/1000</f>
        <v>2.4187452758881332</v>
      </c>
      <c r="G29" s="33">
        <f>G28/($F$8*G26^2)/1000</f>
        <v>2.0156210632401113</v>
      </c>
      <c r="H29" s="29"/>
      <c r="I29" s="7" t="str">
        <f>A23</f>
        <v>Cbneg=</v>
      </c>
      <c r="J29" s="7">
        <f>L29+(K29-L29)/(K27-L27)*(K27-J27)</f>
        <v>0.13899999999999987</v>
      </c>
      <c r="K29" s="35">
        <v>3.6999999999999998E-2</v>
      </c>
      <c r="L29" s="35">
        <v>3.1E-2</v>
      </c>
    </row>
    <row r="30" spans="1:17" x14ac:dyDescent="0.45">
      <c r="A30" s="156" t="s">
        <v>67</v>
      </c>
      <c r="B30" s="157"/>
      <c r="C30" s="157"/>
      <c r="D30" s="36">
        <f>(0.85*$B$6/$B$4)*(1-SQRT(1-(2*D29/(0.85*$B$6))))</f>
        <v>7.8263587149158698E-3</v>
      </c>
      <c r="E30" s="36">
        <f>(0.85*$B$6/$B$4)*(1-SQRT(1-(2*E29/(0.85*$B$6))))</f>
        <v>5.9131073403473052E-4</v>
      </c>
      <c r="F30" s="36">
        <f>(0.85*$B$6/$B$4)*(1-SQRT(1-(2*F29/(0.85*$B$6))))</f>
        <v>6.5277652908782742E-3</v>
      </c>
      <c r="G30" s="37">
        <f>(0.85*$B$6/$B$4)*(1-SQRT(1-(2*G29/(0.85*$B$6))))</f>
        <v>5.3904601918283498E-3</v>
      </c>
      <c r="H30" s="29"/>
    </row>
    <row r="31" spans="1:17" x14ac:dyDescent="0.45">
      <c r="A31" s="156" t="s">
        <v>68</v>
      </c>
      <c r="B31" s="157"/>
      <c r="C31" s="157"/>
      <c r="D31" s="31">
        <f>0.85</f>
        <v>0.85</v>
      </c>
      <c r="E31" s="31">
        <f>0.85</f>
        <v>0.85</v>
      </c>
      <c r="F31" s="31">
        <f>0.85</f>
        <v>0.85</v>
      </c>
      <c r="G31" s="32">
        <f>0.85</f>
        <v>0.85</v>
      </c>
      <c r="H31" s="29"/>
      <c r="I31" s="7"/>
      <c r="J31" s="34">
        <f>C20</f>
        <v>0</v>
      </c>
      <c r="K31" s="7">
        <v>0.9</v>
      </c>
      <c r="L31" s="7">
        <v>0.85</v>
      </c>
    </row>
    <row r="32" spans="1:17" ht="15.75" x14ac:dyDescent="0.45">
      <c r="A32" s="159" t="s">
        <v>69</v>
      </c>
      <c r="B32" s="153"/>
      <c r="C32" s="153"/>
      <c r="D32" s="27">
        <f>D30*F8*D26*10^4</f>
        <v>17.217989172814914</v>
      </c>
      <c r="E32" s="27">
        <f>E30*F8*E26*10^4</f>
        <v>1.3008836148764071</v>
      </c>
      <c r="F32" s="27">
        <f>F30*$F$8*F26*10^4</f>
        <v>13.708307110844377</v>
      </c>
      <c r="G32" s="33">
        <f>G30*$F$8*G26*10^4</f>
        <v>11.319966402839533</v>
      </c>
      <c r="H32" s="29"/>
      <c r="I32" s="7" t="str">
        <f>D22</f>
        <v>CaposDL=</v>
      </c>
      <c r="J32" s="7">
        <f>L32+(K32-L32)/(K31-L31)*(K31-J31)</f>
        <v>-1.2000000000000004E-2</v>
      </c>
      <c r="K32" s="35">
        <v>2.1999999999999999E-2</v>
      </c>
      <c r="L32" s="35">
        <v>2.4E-2</v>
      </c>
      <c r="N32" s="24">
        <v>35</v>
      </c>
      <c r="O32" s="24">
        <v>49</v>
      </c>
      <c r="P32" s="24">
        <v>32</v>
      </c>
      <c r="Q32" s="24">
        <v>51</v>
      </c>
    </row>
    <row r="33" spans="1:12" ht="15.75" x14ac:dyDescent="0.45">
      <c r="A33" s="159" t="s">
        <v>70</v>
      </c>
      <c r="B33" s="153"/>
      <c r="C33" s="153"/>
      <c r="D33" s="27">
        <f>0.0018*$B$4*F7*10^4/413.68</f>
        <v>4.2424095919551341</v>
      </c>
      <c r="E33" s="27">
        <f>0.0018*$B$4*F7*10^4/413.68</f>
        <v>4.2424095919551341</v>
      </c>
      <c r="F33" s="27">
        <f>0.0018*$B$4*F7*10^4/413.68</f>
        <v>4.2424095919551341</v>
      </c>
      <c r="G33" s="33">
        <f>0.0018*$B$4*F7*10^4/413.68</f>
        <v>4.2424095919551341</v>
      </c>
      <c r="I33" s="7" t="str">
        <f>D23</f>
        <v>CbposDL=</v>
      </c>
      <c r="J33" s="7">
        <f>L33+(K33-L33)/(K31-L31)*(K31-J31)</f>
        <v>4.7999999999999973E-2</v>
      </c>
      <c r="K33" s="35">
        <v>1.4E-2</v>
      </c>
      <c r="L33" s="35">
        <v>1.2E-2</v>
      </c>
    </row>
    <row r="34" spans="1:12" ht="15.75" x14ac:dyDescent="0.45">
      <c r="A34" s="159" t="s">
        <v>71</v>
      </c>
      <c r="B34" s="153"/>
      <c r="C34" s="153"/>
      <c r="D34" s="38">
        <f>MAX(D32:D33)</f>
        <v>17.217989172814914</v>
      </c>
      <c r="E34" s="38">
        <f>MAX(E32:E33)</f>
        <v>4.2424095919551341</v>
      </c>
      <c r="F34" s="38">
        <f>MAX(F32:F33)</f>
        <v>13.708307110844377</v>
      </c>
      <c r="G34" s="39">
        <f>MAX(G32:G33)</f>
        <v>11.319966402839533</v>
      </c>
      <c r="I34" s="27"/>
    </row>
    <row r="35" spans="1:12" x14ac:dyDescent="0.45">
      <c r="A35" s="163" t="s">
        <v>35</v>
      </c>
      <c r="B35" s="155"/>
      <c r="C35" s="155"/>
      <c r="D35" s="40">
        <v>16</v>
      </c>
      <c r="E35" s="40">
        <v>12</v>
      </c>
      <c r="F35" s="40">
        <v>16</v>
      </c>
      <c r="G35" s="41">
        <v>16</v>
      </c>
      <c r="I35" s="7"/>
      <c r="J35" s="34">
        <f>C20</f>
        <v>0</v>
      </c>
      <c r="K35" s="7">
        <v>0.9</v>
      </c>
      <c r="L35" s="7">
        <v>0.85</v>
      </c>
    </row>
    <row r="36" spans="1:12" x14ac:dyDescent="0.45">
      <c r="A36" s="159" t="s">
        <v>72</v>
      </c>
      <c r="B36" s="153"/>
      <c r="C36" s="153"/>
      <c r="D36" s="27">
        <f>(D35^2*PI()/4)*F8*1000/D34/100</f>
        <v>116.77433863601145</v>
      </c>
      <c r="E36" s="27">
        <f>(E35^2*PI()/4)*$F$8*1000/E34/100</f>
        <v>266.58749721785148</v>
      </c>
      <c r="F36" s="27">
        <f>(F35^2*PI()/4)*$F$8*1000/F34/100</f>
        <v>146.67159715928057</v>
      </c>
      <c r="G36" s="33">
        <f>(G35^2*PI()/4)*$F$8*1000/G34/100</f>
        <v>177.61707294406085</v>
      </c>
      <c r="I36" s="7" t="str">
        <f>F22</f>
        <v>CaposLL=</v>
      </c>
      <c r="J36" s="7">
        <f>L36+(K36-L36)/(K35-L35)*(K35-J35)</f>
        <v>-1.6999999999999876E-2</v>
      </c>
      <c r="K36" s="35">
        <v>3.4000000000000002E-2</v>
      </c>
      <c r="L36" s="35">
        <v>3.6999999999999998E-2</v>
      </c>
    </row>
    <row r="37" spans="1:12" x14ac:dyDescent="0.45">
      <c r="A37" s="159" t="s">
        <v>73</v>
      </c>
      <c r="B37" s="153"/>
      <c r="C37" s="153"/>
      <c r="D37" s="31">
        <f>MIN(2*$F$7*1000,450)</f>
        <v>450</v>
      </c>
      <c r="E37" s="31">
        <f>MIN(2*$F$7*1000,450)</f>
        <v>450</v>
      </c>
      <c r="F37" s="31">
        <f>MIN(2*$F$7*1000,450)</f>
        <v>450</v>
      </c>
      <c r="G37" s="32">
        <f>MIN(2*$F$7*1000,450)</f>
        <v>450</v>
      </c>
      <c r="I37" s="7" t="str">
        <f>F23</f>
        <v>CbposLL=</v>
      </c>
      <c r="J37" s="7">
        <f>L37+(K37-L37)/(K35-L35)*(K35-J35)</f>
        <v>7.299999999999994E-2</v>
      </c>
      <c r="K37" s="35">
        <v>2.1999999999999999E-2</v>
      </c>
      <c r="L37" s="35">
        <v>1.9E-2</v>
      </c>
    </row>
    <row r="38" spans="1:12" x14ac:dyDescent="0.45">
      <c r="A38" s="163" t="s">
        <v>74</v>
      </c>
      <c r="B38" s="155"/>
      <c r="C38" s="155"/>
      <c r="D38" s="42">
        <v>100</v>
      </c>
      <c r="E38" s="42">
        <v>200</v>
      </c>
      <c r="F38" s="42">
        <v>100</v>
      </c>
      <c r="G38" s="43">
        <v>150</v>
      </c>
    </row>
    <row r="39" spans="1:12" ht="15.75" x14ac:dyDescent="0.45">
      <c r="A39" s="164" t="s">
        <v>75</v>
      </c>
      <c r="B39" s="165"/>
      <c r="C39" s="165"/>
      <c r="D39" s="44">
        <f>F8*(D35^2*PI()/4)/D38*10</f>
        <v>20.106192982974676</v>
      </c>
      <c r="E39" s="44">
        <f>F8*(E35^2*PI()/4)/E38*10</f>
        <v>5.6548667764616276</v>
      </c>
      <c r="F39" s="44">
        <f>$F$8*(F35^2*PI()/4)/F38*10</f>
        <v>20.106192982974676</v>
      </c>
      <c r="G39" s="45">
        <f>$F$8*(G35^2*PI()/4)/G38*10</f>
        <v>13.40412865531645</v>
      </c>
    </row>
    <row r="40" spans="1:12" ht="15" customHeight="1" thickBot="1" x14ac:dyDescent="0.5">
      <c r="A40" s="166" t="s">
        <v>76</v>
      </c>
      <c r="B40" s="167"/>
      <c r="C40" s="167"/>
      <c r="D40" s="46">
        <f>D39/D34</f>
        <v>1.1677433863601145</v>
      </c>
      <c r="E40" s="46">
        <f>E39/E34</f>
        <v>1.3329374860892571</v>
      </c>
      <c r="F40" s="46">
        <f>F39/F34</f>
        <v>1.4667159715928055</v>
      </c>
      <c r="G40" s="47">
        <f>G39/G34</f>
        <v>1.1841138196270724</v>
      </c>
    </row>
    <row r="41" spans="1:12" x14ac:dyDescent="0.45">
      <c r="D41" s="48" t="str">
        <f>IF(D40&gt;1,"OK","NO")</f>
        <v>OK</v>
      </c>
      <c r="E41" s="48" t="str">
        <f t="shared" ref="E41:G41" si="0">IF(E40&gt;1,"OK","NO")</f>
        <v>OK</v>
      </c>
      <c r="F41" s="48" t="str">
        <f t="shared" si="0"/>
        <v>OK</v>
      </c>
      <c r="G41" s="48" t="str">
        <f t="shared" si="0"/>
        <v>OK</v>
      </c>
    </row>
    <row r="42" spans="1:12" ht="14.65" thickBot="1" x14ac:dyDescent="0.5"/>
    <row r="43" spans="1:12" ht="15.75" x14ac:dyDescent="0.45">
      <c r="A43" s="49" t="s">
        <v>77</v>
      </c>
      <c r="B43" s="50"/>
      <c r="C43" s="50"/>
      <c r="D43" s="51"/>
      <c r="E43" s="50"/>
      <c r="F43" s="50"/>
      <c r="G43" s="52"/>
      <c r="H43" s="53"/>
    </row>
    <row r="44" spans="1:12" x14ac:dyDescent="0.45">
      <c r="A44" s="11" t="s">
        <v>78</v>
      </c>
      <c r="B44" s="3">
        <f>4700*SQRT($B$6)</f>
        <v>25742.960202742808</v>
      </c>
      <c r="C44" s="4" t="s">
        <v>5</v>
      </c>
      <c r="D44" s="9"/>
      <c r="E44" s="54" t="s">
        <v>79</v>
      </c>
      <c r="F44" s="54">
        <v>3</v>
      </c>
      <c r="G44" s="55"/>
      <c r="H44" s="3"/>
    </row>
    <row r="45" spans="1:12" ht="15.75" x14ac:dyDescent="0.45">
      <c r="A45" s="11" t="s">
        <v>80</v>
      </c>
      <c r="B45" s="56">
        <f>F8*F7^3/12</f>
        <v>1.3020833333333333E-3</v>
      </c>
      <c r="C45" s="4" t="s">
        <v>81</v>
      </c>
      <c r="D45" s="3"/>
      <c r="E45" s="168" t="s">
        <v>82</v>
      </c>
      <c r="F45" s="169"/>
      <c r="G45" s="170"/>
    </row>
    <row r="46" spans="1:12" x14ac:dyDescent="0.45">
      <c r="A46" s="11" t="s">
        <v>83</v>
      </c>
      <c r="B46" s="3">
        <f>0.63*SQRT($B$6)</f>
        <v>3.4506521122825466</v>
      </c>
      <c r="C46" s="4" t="s">
        <v>5</v>
      </c>
      <c r="D46" s="3"/>
      <c r="E46" s="57" t="s">
        <v>84</v>
      </c>
      <c r="F46" s="58">
        <f>1000*B53*F4^2*$F$8/(16*$B$44*$B$51*1000)</f>
        <v>1.9788111944825644</v>
      </c>
      <c r="G46" s="55" t="s">
        <v>36</v>
      </c>
    </row>
    <row r="47" spans="1:12" x14ac:dyDescent="0.45">
      <c r="A47" s="11" t="s">
        <v>85</v>
      </c>
      <c r="B47" s="3">
        <f>F7/2</f>
        <v>0.125</v>
      </c>
      <c r="C47" s="4" t="s">
        <v>7</v>
      </c>
      <c r="E47" s="59" t="s">
        <v>86</v>
      </c>
      <c r="F47" s="58">
        <f>1000*B54*F5^2*$F$8/(16*$B$44*$B$51*1000)</f>
        <v>2.5188271800255011</v>
      </c>
      <c r="G47" s="55" t="s">
        <v>36</v>
      </c>
    </row>
    <row r="48" spans="1:12" x14ac:dyDescent="0.45">
      <c r="A48" s="11" t="s">
        <v>87</v>
      </c>
      <c r="B48" s="24">
        <f>B46*B45*1000/B47</f>
        <v>35.944292836276524</v>
      </c>
      <c r="C48" s="4" t="s">
        <v>88</v>
      </c>
      <c r="D48" s="3"/>
      <c r="E48" s="59" t="s">
        <v>89</v>
      </c>
      <c r="F48" s="58">
        <f>(F46+F47)/2</f>
        <v>2.2488191872540328</v>
      </c>
      <c r="G48" s="55" t="s">
        <v>36</v>
      </c>
    </row>
    <row r="49" spans="1:15" x14ac:dyDescent="0.45">
      <c r="A49" s="11" t="s">
        <v>90</v>
      </c>
      <c r="B49" s="60">
        <f>B5/B44</f>
        <v>7.7691142908534196</v>
      </c>
      <c r="D49" s="3"/>
      <c r="E49" s="61" t="s">
        <v>91</v>
      </c>
      <c r="F49" s="58">
        <f>F48*F44/2</f>
        <v>3.3732287808810493</v>
      </c>
      <c r="G49" s="55" t="s">
        <v>36</v>
      </c>
    </row>
    <row r="50" spans="1:15" x14ac:dyDescent="0.45">
      <c r="A50" s="11" t="s">
        <v>92</v>
      </c>
      <c r="B50" s="18">
        <f>(-K25+SQRT(K25^2+2*K25*F8*E26))/F8</f>
        <v>0.14896795156851053</v>
      </c>
      <c r="C50" s="4" t="s">
        <v>7</v>
      </c>
      <c r="E50" s="168" t="s">
        <v>93</v>
      </c>
      <c r="F50" s="169"/>
      <c r="G50" s="170"/>
    </row>
    <row r="51" spans="1:15" ht="15.75" x14ac:dyDescent="0.45">
      <c r="A51" s="11" t="s">
        <v>94</v>
      </c>
      <c r="B51" s="56">
        <f>(F8*B50^3/3)+(B49*D39/10000*(E26-B50)^2)</f>
        <v>1.1807535221361294E-3</v>
      </c>
      <c r="C51" s="4" t="s">
        <v>81</v>
      </c>
      <c r="E51" s="62" t="s">
        <v>95</v>
      </c>
      <c r="F51" s="58">
        <f>1000*3*B55*F4^2*$F$8/(32*$B$44*$B$51*1000)</f>
        <v>4.0111037725997924</v>
      </c>
      <c r="G51" s="55" t="s">
        <v>36</v>
      </c>
      <c r="H51" s="63"/>
      <c r="J51" s="153"/>
      <c r="K51" s="153"/>
      <c r="L51" s="153"/>
      <c r="M51" s="3"/>
      <c r="N51" s="3"/>
      <c r="O51" s="3"/>
    </row>
    <row r="52" spans="1:15" ht="15.75" x14ac:dyDescent="0.45">
      <c r="A52" s="11" t="s">
        <v>96</v>
      </c>
      <c r="B52" s="56">
        <f>(B48/B53)^3*B45+(1-(B48/B53)^3)*B51</f>
        <v>1.2919912683142915E-3</v>
      </c>
      <c r="C52" s="4" t="s">
        <v>81</v>
      </c>
      <c r="E52" s="62" t="s">
        <v>97</v>
      </c>
      <c r="F52" s="58">
        <f>1000*3*B56*F5^2*$F$8/(32*$B$44*$B$51*1000)</f>
        <v>6.3474444936642627</v>
      </c>
      <c r="G52" s="55" t="s">
        <v>36</v>
      </c>
      <c r="J52" s="173"/>
      <c r="K52" s="173"/>
      <c r="L52" s="173"/>
      <c r="M52" s="3"/>
      <c r="N52" s="3"/>
      <c r="O52" s="3"/>
    </row>
    <row r="53" spans="1:15" ht="15.75" x14ac:dyDescent="0.45">
      <c r="A53" s="11" t="s">
        <v>98</v>
      </c>
      <c r="B53" s="24">
        <v>37</v>
      </c>
      <c r="C53" s="4" t="s">
        <v>88</v>
      </c>
      <c r="E53" s="62" t="s">
        <v>99</v>
      </c>
      <c r="F53" s="58">
        <f>(F51+F52)/2</f>
        <v>5.1792741331320276</v>
      </c>
      <c r="G53" s="64" t="s">
        <v>36</v>
      </c>
      <c r="J53" s="173"/>
      <c r="K53" s="173"/>
      <c r="L53" s="173"/>
      <c r="M53" s="3"/>
      <c r="N53" s="65"/>
      <c r="O53" s="65"/>
    </row>
    <row r="54" spans="1:15" ht="15.75" x14ac:dyDescent="0.45">
      <c r="A54" s="11" t="s">
        <v>100</v>
      </c>
      <c r="B54" s="24">
        <v>25</v>
      </c>
      <c r="C54" s="4" t="s">
        <v>88</v>
      </c>
      <c r="E54" s="168" t="s">
        <v>101</v>
      </c>
      <c r="F54" s="169"/>
      <c r="G54" s="170"/>
      <c r="J54" s="173"/>
      <c r="K54" s="173"/>
      <c r="L54" s="173"/>
      <c r="M54" s="3"/>
      <c r="N54" s="65"/>
      <c r="O54" s="65"/>
    </row>
    <row r="55" spans="1:15" ht="15.75" x14ac:dyDescent="0.45">
      <c r="A55" s="11" t="s">
        <v>102</v>
      </c>
      <c r="B55" s="24">
        <v>50</v>
      </c>
      <c r="C55" s="4" t="s">
        <v>88</v>
      </c>
      <c r="E55" s="62" t="s">
        <v>103</v>
      </c>
      <c r="F55" s="66">
        <f>F49+F53</f>
        <v>8.5525029140130773</v>
      </c>
      <c r="G55" s="55" t="s">
        <v>36</v>
      </c>
      <c r="J55" s="173"/>
      <c r="K55" s="173"/>
      <c r="L55" s="173"/>
      <c r="M55" s="3"/>
      <c r="N55" s="65"/>
      <c r="O55" s="65"/>
    </row>
    <row r="56" spans="1:15" ht="15.75" x14ac:dyDescent="0.45">
      <c r="A56" s="11" t="s">
        <v>104</v>
      </c>
      <c r="B56" s="24">
        <v>42</v>
      </c>
      <c r="C56" s="4" t="s">
        <v>88</v>
      </c>
      <c r="E56" s="62" t="s">
        <v>105</v>
      </c>
      <c r="F56" s="137">
        <f>F4/240*1000</f>
        <v>21.249999999999996</v>
      </c>
      <c r="G56" s="67" t="s">
        <v>36</v>
      </c>
      <c r="K56" s="68"/>
      <c r="L56" s="68"/>
    </row>
    <row r="57" spans="1:15" ht="15" x14ac:dyDescent="0.45">
      <c r="A57" s="8"/>
      <c r="F57" s="174" t="str">
        <f>IF((F55/F56)&lt;1,"OK","NO")</f>
        <v>OK</v>
      </c>
      <c r="G57" s="175"/>
      <c r="K57" s="68"/>
      <c r="L57" s="68"/>
    </row>
    <row r="58" spans="1:15" ht="15" x14ac:dyDescent="0.45">
      <c r="A58" s="8"/>
      <c r="G58" s="10"/>
      <c r="K58" s="68"/>
      <c r="L58" s="68"/>
    </row>
    <row r="59" spans="1:15" ht="15" x14ac:dyDescent="0.45">
      <c r="A59" s="8"/>
      <c r="B59" s="168" t="s">
        <v>106</v>
      </c>
      <c r="C59" s="169"/>
      <c r="D59" s="171"/>
      <c r="E59" s="62" t="s">
        <v>35</v>
      </c>
      <c r="F59" s="62" t="s">
        <v>107</v>
      </c>
      <c r="G59" s="10"/>
      <c r="K59" s="68"/>
      <c r="L59" s="69"/>
    </row>
    <row r="60" spans="1:15" ht="15" x14ac:dyDescent="0.45">
      <c r="A60" s="8"/>
      <c r="B60" s="172" t="s">
        <v>108</v>
      </c>
      <c r="C60" s="172"/>
      <c r="D60" s="62" t="s">
        <v>109</v>
      </c>
      <c r="E60" s="70">
        <f>K13</f>
        <v>10</v>
      </c>
      <c r="F60" s="71">
        <f>D38</f>
        <v>100</v>
      </c>
      <c r="G60" s="10"/>
      <c r="K60" s="68"/>
      <c r="L60" s="68"/>
    </row>
    <row r="61" spans="1:15" ht="16.5" customHeight="1" x14ac:dyDescent="0.45">
      <c r="A61" s="8"/>
      <c r="B61" s="172"/>
      <c r="C61" s="172"/>
      <c r="D61" s="62" t="s">
        <v>110</v>
      </c>
      <c r="E61" s="70">
        <f>E60</f>
        <v>10</v>
      </c>
      <c r="F61" s="71">
        <f>F38</f>
        <v>100</v>
      </c>
      <c r="G61" s="72"/>
      <c r="K61" s="68"/>
      <c r="L61" s="68"/>
    </row>
    <row r="62" spans="1:15" ht="16.5" customHeight="1" x14ac:dyDescent="0.45">
      <c r="A62" s="8"/>
      <c r="B62" s="172" t="s">
        <v>111</v>
      </c>
      <c r="C62" s="172"/>
      <c r="D62" s="62" t="s">
        <v>109</v>
      </c>
      <c r="E62" s="70">
        <f t="shared" ref="E62:E63" si="1">E61</f>
        <v>10</v>
      </c>
      <c r="F62" s="71">
        <f>E38</f>
        <v>200</v>
      </c>
      <c r="G62" s="10"/>
      <c r="K62" s="68"/>
      <c r="L62" s="68"/>
    </row>
    <row r="63" spans="1:15" ht="16.5" customHeight="1" x14ac:dyDescent="0.45">
      <c r="A63" s="8"/>
      <c r="B63" s="172"/>
      <c r="C63" s="172"/>
      <c r="D63" s="62" t="s">
        <v>110</v>
      </c>
      <c r="E63" s="70">
        <f t="shared" si="1"/>
        <v>10</v>
      </c>
      <c r="F63" s="71">
        <f>G38</f>
        <v>150</v>
      </c>
      <c r="G63" s="10"/>
      <c r="K63" s="68"/>
      <c r="L63" s="68"/>
    </row>
    <row r="64" spans="1:15" ht="16.5" customHeight="1" x14ac:dyDescent="0.45">
      <c r="A64" s="8"/>
      <c r="D64" s="73"/>
      <c r="E64" s="3"/>
      <c r="F64" s="3"/>
      <c r="G64" s="10"/>
      <c r="K64" s="68"/>
      <c r="L64" s="68"/>
    </row>
    <row r="65" spans="1:12" ht="15" customHeight="1" x14ac:dyDescent="0.45">
      <c r="A65" s="8"/>
      <c r="D65" s="3"/>
      <c r="E65" s="3"/>
      <c r="F65" s="3"/>
      <c r="G65" s="10"/>
      <c r="K65" s="68"/>
      <c r="L65" s="68"/>
    </row>
    <row r="66" spans="1:12" ht="15" customHeight="1" x14ac:dyDescent="0.45">
      <c r="A66" s="8"/>
      <c r="E66" s="3"/>
      <c r="F66" s="3"/>
      <c r="G66" s="10"/>
      <c r="K66" s="68"/>
      <c r="L66" s="68"/>
    </row>
    <row r="67" spans="1:12" x14ac:dyDescent="0.45">
      <c r="A67" s="8"/>
      <c r="E67" s="3"/>
      <c r="F67" s="3"/>
      <c r="G67" s="10"/>
    </row>
    <row r="68" spans="1:12" x14ac:dyDescent="0.45">
      <c r="A68" s="8"/>
      <c r="E68" s="3"/>
      <c r="F68" s="3"/>
      <c r="G68" s="10"/>
    </row>
    <row r="69" spans="1:12" ht="19.5" customHeight="1" x14ac:dyDescent="0.45">
      <c r="A69" s="8"/>
      <c r="E69" s="3"/>
      <c r="F69" s="3"/>
      <c r="G69" s="10"/>
    </row>
    <row r="70" spans="1:12" x14ac:dyDescent="0.45">
      <c r="A70" s="8"/>
      <c r="E70" s="3"/>
      <c r="F70" s="3"/>
      <c r="G70" s="10"/>
    </row>
    <row r="71" spans="1:12" ht="15" customHeight="1" x14ac:dyDescent="0.45">
      <c r="A71" s="8"/>
      <c r="E71" s="3"/>
      <c r="F71" s="3"/>
      <c r="G71" s="10"/>
    </row>
    <row r="72" spans="1:12" ht="15" customHeight="1" thickBot="1" x14ac:dyDescent="0.5">
      <c r="A72" s="74"/>
      <c r="B72" s="75"/>
      <c r="C72" s="75"/>
      <c r="D72" s="75"/>
      <c r="E72" s="76"/>
      <c r="F72" s="76"/>
      <c r="G72" s="77"/>
    </row>
    <row r="73" spans="1:12" x14ac:dyDescent="0.45">
      <c r="E73" s="3"/>
      <c r="F73" s="3"/>
    </row>
    <row r="74" spans="1:12" x14ac:dyDescent="0.45">
      <c r="E74" s="3"/>
      <c r="F74" s="3"/>
    </row>
    <row r="84" spans="1:5" ht="15.75" x14ac:dyDescent="0.45">
      <c r="A84" s="53"/>
      <c r="B84" s="3"/>
      <c r="C84" s="53"/>
      <c r="D84" s="3"/>
    </row>
    <row r="85" spans="1:5" x14ac:dyDescent="0.45">
      <c r="A85" s="3"/>
      <c r="B85" s="78"/>
      <c r="C85" s="3"/>
      <c r="D85" s="3"/>
    </row>
    <row r="87" spans="1:5" x14ac:dyDescent="0.45">
      <c r="B87" s="24"/>
      <c r="D87" s="24"/>
    </row>
    <row r="88" spans="1:5" x14ac:dyDescent="0.45">
      <c r="B88" s="24"/>
      <c r="D88" s="24"/>
    </row>
    <row r="89" spans="1:5" x14ac:dyDescent="0.45">
      <c r="B89" s="24"/>
      <c r="D89" s="24"/>
    </row>
    <row r="90" spans="1:5" x14ac:dyDescent="0.45">
      <c r="B90" s="18"/>
      <c r="D90" s="18"/>
    </row>
    <row r="91" spans="1:5" ht="20.25" customHeight="1" x14ac:dyDescent="0.45">
      <c r="B91" s="24"/>
      <c r="D91" s="24"/>
    </row>
    <row r="92" spans="1:5" ht="19.5" customHeight="1" x14ac:dyDescent="0.45">
      <c r="B92" s="24"/>
      <c r="D92" s="24"/>
    </row>
    <row r="93" spans="1:5" x14ac:dyDescent="0.45">
      <c r="B93" s="24"/>
      <c r="D93" s="24"/>
    </row>
    <row r="95" spans="1:5" x14ac:dyDescent="0.45">
      <c r="E95" s="79"/>
    </row>
    <row r="96" spans="1:5" x14ac:dyDescent="0.45">
      <c r="A96" s="80"/>
      <c r="B96" s="80"/>
      <c r="C96" s="80"/>
      <c r="D96" s="80"/>
      <c r="E96" s="81"/>
    </row>
    <row r="97" spans="1:5" x14ac:dyDescent="0.45">
      <c r="E97" s="81"/>
    </row>
    <row r="98" spans="1:5" x14ac:dyDescent="0.45">
      <c r="E98" s="81"/>
    </row>
    <row r="99" spans="1:5" ht="18" customHeight="1" x14ac:dyDescent="0.45">
      <c r="E99" s="81"/>
    </row>
    <row r="100" spans="1:5" x14ac:dyDescent="0.45">
      <c r="E100" s="81"/>
    </row>
    <row r="101" spans="1:5" x14ac:dyDescent="0.45">
      <c r="E101" s="81"/>
    </row>
    <row r="102" spans="1:5" x14ac:dyDescent="0.45">
      <c r="E102" s="81"/>
    </row>
    <row r="103" spans="1:5" x14ac:dyDescent="0.45">
      <c r="E103" s="81"/>
    </row>
    <row r="104" spans="1:5" x14ac:dyDescent="0.45">
      <c r="E104" s="81"/>
    </row>
    <row r="105" spans="1:5" x14ac:dyDescent="0.45">
      <c r="E105" s="81"/>
    </row>
    <row r="106" spans="1:5" x14ac:dyDescent="0.45">
      <c r="E106" s="81"/>
    </row>
    <row r="107" spans="1:5" x14ac:dyDescent="0.45">
      <c r="E107" s="81"/>
    </row>
    <row r="108" spans="1:5" x14ac:dyDescent="0.45">
      <c r="E108" s="81"/>
    </row>
    <row r="109" spans="1:5" x14ac:dyDescent="0.45">
      <c r="E109" s="81"/>
    </row>
    <row r="110" spans="1:5" x14ac:dyDescent="0.45">
      <c r="E110" s="82"/>
    </row>
    <row r="111" spans="1:5" x14ac:dyDescent="0.45">
      <c r="A111" s="83"/>
      <c r="B111" s="83"/>
      <c r="C111" s="83"/>
      <c r="D111" s="83"/>
    </row>
    <row r="117" ht="15.75" customHeight="1" x14ac:dyDescent="0.45"/>
    <row r="118" ht="15.75" customHeight="1" x14ac:dyDescent="0.45"/>
    <row r="130" ht="87.75" customHeight="1" x14ac:dyDescent="0.45"/>
  </sheetData>
  <mergeCells count="41">
    <mergeCell ref="B59:D59"/>
    <mergeCell ref="B60:C61"/>
    <mergeCell ref="B62:C63"/>
    <mergeCell ref="J52:L52"/>
    <mergeCell ref="J53:L53"/>
    <mergeCell ref="E54:G54"/>
    <mergeCell ref="J54:L54"/>
    <mergeCell ref="J55:L55"/>
    <mergeCell ref="F57:G57"/>
    <mergeCell ref="J51:L51"/>
    <mergeCell ref="A32:C32"/>
    <mergeCell ref="A33:C33"/>
    <mergeCell ref="A34:C34"/>
    <mergeCell ref="A35:C35"/>
    <mergeCell ref="A36:C36"/>
    <mergeCell ref="A37:C37"/>
    <mergeCell ref="A38:C38"/>
    <mergeCell ref="A39:C39"/>
    <mergeCell ref="A40:C40"/>
    <mergeCell ref="E45:G45"/>
    <mergeCell ref="E50:G50"/>
    <mergeCell ref="A31:C31"/>
    <mergeCell ref="D15:G20"/>
    <mergeCell ref="A20:B20"/>
    <mergeCell ref="A21:B21"/>
    <mergeCell ref="B22:C22"/>
    <mergeCell ref="B23:C23"/>
    <mergeCell ref="A24:C25"/>
    <mergeCell ref="A26:C26"/>
    <mergeCell ref="A27:C27"/>
    <mergeCell ref="A28:C28"/>
    <mergeCell ref="A29:C29"/>
    <mergeCell ref="A30:C30"/>
    <mergeCell ref="A1:G1"/>
    <mergeCell ref="A2:C2"/>
    <mergeCell ref="F2:G2"/>
    <mergeCell ref="A10:C10"/>
    <mergeCell ref="A11:A12"/>
    <mergeCell ref="D11:D12"/>
    <mergeCell ref="E11:E12"/>
    <mergeCell ref="F11:F12"/>
  </mergeCells>
  <printOptions horizontalCentered="1"/>
  <pageMargins left="0.25" right="0.25" top="0.75" bottom="0.75" header="0.3" footer="0.3"/>
  <pageSetup paperSize="9" orientation="portrait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sheetPr codeName="Sheet53"/>
  <dimension ref="A1:Q130"/>
  <sheetViews>
    <sheetView topLeftCell="A34" zoomScale="85" zoomScaleNormal="85" workbookViewId="0">
      <selection activeCell="B12" sqref="B12"/>
    </sheetView>
  </sheetViews>
  <sheetFormatPr defaultColWidth="9.1328125" defaultRowHeight="14.25" x14ac:dyDescent="0.45"/>
  <cols>
    <col min="1" max="2" width="10" style="4" customWidth="1"/>
    <col min="3" max="3" width="10.86328125" style="4" customWidth="1"/>
    <col min="4" max="4" width="11.265625" style="4" customWidth="1"/>
    <col min="5" max="5" width="11.3984375" style="4" customWidth="1"/>
    <col min="6" max="6" width="12.73046875" style="4" customWidth="1"/>
    <col min="7" max="8" width="13.73046875" style="4" customWidth="1"/>
    <col min="9" max="12" width="15.73046875" style="3" customWidth="1"/>
    <col min="13" max="13" width="13.73046875" style="4" bestFit="1" customWidth="1"/>
    <col min="14" max="14" width="12.59765625" style="4" bestFit="1" customWidth="1"/>
    <col min="15" max="15" width="12.3984375" style="4" customWidth="1"/>
    <col min="16" max="16" width="13.73046875" style="4" customWidth="1"/>
    <col min="17" max="16384" width="9.1328125" style="4"/>
  </cols>
  <sheetData>
    <row r="1" spans="1:17" ht="19.5" customHeight="1" thickBot="1" x14ac:dyDescent="0.5">
      <c r="A1" s="144" t="s">
        <v>218</v>
      </c>
      <c r="B1" s="144"/>
      <c r="C1" s="144"/>
      <c r="D1" s="144"/>
      <c r="E1" s="144"/>
      <c r="F1" s="144"/>
      <c r="G1" s="144"/>
      <c r="H1" s="1"/>
      <c r="I1" s="2"/>
      <c r="J1" s="2"/>
    </row>
    <row r="2" spans="1:17" ht="15.75" x14ac:dyDescent="0.5">
      <c r="A2" s="145"/>
      <c r="B2" s="146"/>
      <c r="C2" s="147"/>
      <c r="D2" s="5"/>
      <c r="E2" s="6"/>
      <c r="F2" s="148"/>
      <c r="G2" s="149"/>
      <c r="I2" s="7"/>
      <c r="J2" s="7" t="str">
        <f>IF(K3&lt;2, "Two Way Slab", "One way Slab")</f>
        <v>Two Way Slab</v>
      </c>
      <c r="K2" s="7"/>
      <c r="L2" s="7"/>
      <c r="N2" s="4" t="s">
        <v>0</v>
      </c>
    </row>
    <row r="3" spans="1:17" ht="14.25" customHeight="1" x14ac:dyDescent="0.45">
      <c r="A3" s="8"/>
      <c r="B3" s="9" t="s">
        <v>1</v>
      </c>
      <c r="F3" s="9" t="s">
        <v>2</v>
      </c>
      <c r="G3" s="10"/>
      <c r="I3" s="7"/>
      <c r="J3" s="7" t="s">
        <v>3</v>
      </c>
      <c r="K3" s="7">
        <f>F5/F4</f>
        <v>1.4202898550724639</v>
      </c>
      <c r="L3" s="7"/>
    </row>
    <row r="4" spans="1:17" ht="14.25" customHeight="1" x14ac:dyDescent="0.45">
      <c r="A4" s="11" t="s">
        <v>4</v>
      </c>
      <c r="B4" s="12">
        <v>390</v>
      </c>
      <c r="C4" s="13" t="s">
        <v>5</v>
      </c>
      <c r="E4" s="14" t="s">
        <v>6</v>
      </c>
      <c r="F4" s="15">
        <v>6.9</v>
      </c>
      <c r="G4" s="10" t="s">
        <v>7</v>
      </c>
      <c r="I4" s="7"/>
      <c r="J4" s="7" t="s">
        <v>8</v>
      </c>
      <c r="K4" s="7"/>
      <c r="L4" s="7"/>
    </row>
    <row r="5" spans="1:17" ht="14.25" customHeight="1" x14ac:dyDescent="0.45">
      <c r="A5" s="11" t="s">
        <v>9</v>
      </c>
      <c r="B5" s="12">
        <v>200000</v>
      </c>
      <c r="C5" s="13" t="s">
        <v>5</v>
      </c>
      <c r="E5" s="14" t="s">
        <v>10</v>
      </c>
      <c r="F5" s="15">
        <v>9.8000000000000007</v>
      </c>
      <c r="G5" s="10" t="s">
        <v>7</v>
      </c>
      <c r="I5" s="7" t="s">
        <v>11</v>
      </c>
      <c r="J5" s="7" t="s">
        <v>12</v>
      </c>
      <c r="K5" s="16">
        <v>0.2</v>
      </c>
      <c r="L5" s="17" t="s">
        <v>7</v>
      </c>
    </row>
    <row r="6" spans="1:17" ht="14.25" customHeight="1" x14ac:dyDescent="0.45">
      <c r="A6" s="11" t="s">
        <v>13</v>
      </c>
      <c r="B6" s="12">
        <v>30</v>
      </c>
      <c r="C6" s="13" t="s">
        <v>5</v>
      </c>
      <c r="E6" s="14" t="s">
        <v>14</v>
      </c>
      <c r="F6" s="18">
        <f>K14/180</f>
        <v>0.18555555555555558</v>
      </c>
      <c r="G6" s="10" t="s">
        <v>7</v>
      </c>
      <c r="I6" s="7"/>
      <c r="J6" s="7" t="s">
        <v>15</v>
      </c>
      <c r="K6" s="16">
        <v>0.4</v>
      </c>
      <c r="L6" s="17" t="s">
        <v>7</v>
      </c>
    </row>
    <row r="7" spans="1:17" ht="17.25" customHeight="1" x14ac:dyDescent="0.45">
      <c r="A7" s="11" t="s">
        <v>16</v>
      </c>
      <c r="B7" s="12">
        <v>25</v>
      </c>
      <c r="C7" s="13" t="s">
        <v>17</v>
      </c>
      <c r="E7" s="14" t="s">
        <v>18</v>
      </c>
      <c r="F7" s="19">
        <v>0.25</v>
      </c>
      <c r="G7" s="10" t="s">
        <v>7</v>
      </c>
      <c r="I7" s="7" t="s">
        <v>19</v>
      </c>
      <c r="J7" s="7" t="s">
        <v>20</v>
      </c>
      <c r="K7" s="16">
        <v>0.2</v>
      </c>
      <c r="L7" s="17" t="s">
        <v>7</v>
      </c>
    </row>
    <row r="8" spans="1:17" ht="16.5" customHeight="1" x14ac:dyDescent="0.45">
      <c r="A8" s="8"/>
      <c r="B8" s="14"/>
      <c r="C8" s="13"/>
      <c r="D8" s="13"/>
      <c r="E8" s="14" t="s">
        <v>21</v>
      </c>
      <c r="F8" s="15">
        <v>1</v>
      </c>
      <c r="G8" s="10" t="s">
        <v>7</v>
      </c>
      <c r="I8" s="7"/>
      <c r="J8" s="7" t="s">
        <v>22</v>
      </c>
      <c r="K8" s="16">
        <v>0.4</v>
      </c>
      <c r="L8" s="17" t="s">
        <v>7</v>
      </c>
      <c r="N8" s="4" t="s">
        <v>23</v>
      </c>
    </row>
    <row r="9" spans="1:17" ht="16.5" customHeight="1" x14ac:dyDescent="0.45">
      <c r="A9" s="8"/>
      <c r="B9" s="14"/>
      <c r="C9" s="13"/>
      <c r="D9" s="13"/>
      <c r="E9" s="14" t="s">
        <v>24</v>
      </c>
      <c r="F9" s="15">
        <v>2.5000000000000001E-2</v>
      </c>
      <c r="G9" s="10" t="s">
        <v>7</v>
      </c>
      <c r="I9" s="7"/>
      <c r="J9" s="7" t="s">
        <v>25</v>
      </c>
      <c r="K9" s="20">
        <f>F4</f>
        <v>6.9</v>
      </c>
      <c r="L9" s="17" t="s">
        <v>7</v>
      </c>
      <c r="O9" s="3"/>
      <c r="P9" s="3"/>
      <c r="Q9" s="3"/>
    </row>
    <row r="10" spans="1:17" ht="14.25" customHeight="1" x14ac:dyDescent="0.45">
      <c r="A10" s="150" t="s">
        <v>26</v>
      </c>
      <c r="B10" s="151"/>
      <c r="C10" s="151"/>
      <c r="D10" s="15" t="s">
        <v>27</v>
      </c>
      <c r="E10" s="9"/>
      <c r="F10" s="15" t="s">
        <v>28</v>
      </c>
      <c r="G10" s="10"/>
      <c r="I10" s="7"/>
      <c r="J10" s="7" t="s">
        <v>29</v>
      </c>
      <c r="K10" s="20">
        <f>F5</f>
        <v>9.8000000000000007</v>
      </c>
      <c r="L10" s="17" t="s">
        <v>7</v>
      </c>
      <c r="O10" s="3"/>
      <c r="P10" s="3"/>
      <c r="Q10" s="3"/>
    </row>
    <row r="11" spans="1:17" ht="15" customHeight="1" x14ac:dyDescent="0.45">
      <c r="A11" s="152" t="s">
        <v>30</v>
      </c>
      <c r="B11" s="3">
        <f>40+0</f>
        <v>40</v>
      </c>
      <c r="C11" s="15"/>
      <c r="D11" s="153">
        <f>C11+C12</f>
        <v>0</v>
      </c>
      <c r="E11" s="154" t="s">
        <v>31</v>
      </c>
      <c r="F11" s="155"/>
      <c r="G11" s="10"/>
      <c r="I11" s="7"/>
      <c r="J11" s="7" t="s">
        <v>32</v>
      </c>
      <c r="K11" s="21">
        <f>F7</f>
        <v>0.25</v>
      </c>
      <c r="L11" s="17" t="s">
        <v>7</v>
      </c>
      <c r="O11" s="3"/>
      <c r="P11" s="3"/>
      <c r="Q11" s="3"/>
    </row>
    <row r="12" spans="1:17" ht="15" customHeight="1" x14ac:dyDescent="0.45">
      <c r="A12" s="152"/>
      <c r="B12" s="3">
        <f>B9-B11-$B$27-(B20/2)</f>
        <v>-40</v>
      </c>
      <c r="C12" s="3"/>
      <c r="D12" s="153"/>
      <c r="E12" s="154"/>
      <c r="F12" s="155"/>
      <c r="G12" s="10"/>
      <c r="I12" s="7"/>
      <c r="J12" s="7" t="s">
        <v>33</v>
      </c>
      <c r="K12" s="20">
        <f>F9</f>
        <v>2.5000000000000001E-2</v>
      </c>
      <c r="L12" s="17" t="s">
        <v>7</v>
      </c>
      <c r="O12" s="3"/>
      <c r="P12" s="3"/>
      <c r="Q12" s="3"/>
    </row>
    <row r="13" spans="1:17" ht="20.25" customHeight="1" x14ac:dyDescent="0.45">
      <c r="A13" s="11" t="s">
        <v>34</v>
      </c>
      <c r="D13" s="15">
        <v>1.92</v>
      </c>
      <c r="E13" s="13" t="s">
        <v>31</v>
      </c>
      <c r="F13" s="15"/>
      <c r="G13" s="10"/>
      <c r="I13" s="7"/>
      <c r="J13" s="7" t="s">
        <v>35</v>
      </c>
      <c r="K13" s="16">
        <v>10</v>
      </c>
      <c r="L13" s="17" t="s">
        <v>36</v>
      </c>
      <c r="O13" s="3"/>
      <c r="P13" s="3"/>
      <c r="Q13" s="3"/>
    </row>
    <row r="14" spans="1:17" ht="15" customHeight="1" x14ac:dyDescent="0.45">
      <c r="A14" s="11" t="s">
        <v>37</v>
      </c>
      <c r="B14" s="3"/>
      <c r="C14" s="13" t="s">
        <v>31</v>
      </c>
      <c r="G14" s="10"/>
      <c r="I14" s="7"/>
      <c r="J14" s="7" t="s">
        <v>38</v>
      </c>
      <c r="K14" s="7">
        <f>(F4+F5)*2</f>
        <v>33.400000000000006</v>
      </c>
      <c r="L14" s="7"/>
      <c r="N14" s="4" t="s">
        <v>39</v>
      </c>
      <c r="P14" s="3"/>
      <c r="Q14" s="3"/>
    </row>
    <row r="15" spans="1:17" ht="15" customHeight="1" x14ac:dyDescent="0.45">
      <c r="A15" s="11"/>
      <c r="B15" s="3"/>
      <c r="C15" s="13"/>
      <c r="D15" s="153"/>
      <c r="E15" s="153"/>
      <c r="F15" s="153"/>
      <c r="G15" s="158"/>
      <c r="I15" s="7"/>
      <c r="J15" s="7" t="s">
        <v>40</v>
      </c>
      <c r="K15" s="22">
        <f>$K$9/30</f>
        <v>0.23</v>
      </c>
      <c r="L15" s="7"/>
      <c r="Q15" s="3"/>
    </row>
    <row r="16" spans="1:17" ht="15" customHeight="1" x14ac:dyDescent="0.45">
      <c r="A16" s="11"/>
      <c r="B16" s="3"/>
      <c r="C16" s="13"/>
      <c r="D16" s="153"/>
      <c r="E16" s="153"/>
      <c r="F16" s="153"/>
      <c r="G16" s="158"/>
      <c r="I16" s="7"/>
      <c r="J16" s="7"/>
      <c r="K16" s="22">
        <f>$K$9/50</f>
        <v>0.13800000000000001</v>
      </c>
      <c r="L16" s="7"/>
      <c r="Q16" s="3"/>
    </row>
    <row r="17" spans="1:17" ht="15" customHeight="1" x14ac:dyDescent="0.45">
      <c r="A17" s="11"/>
      <c r="B17" s="3"/>
      <c r="C17" s="13"/>
      <c r="D17" s="153"/>
      <c r="E17" s="153"/>
      <c r="F17" s="153"/>
      <c r="G17" s="158"/>
      <c r="I17" s="7"/>
      <c r="J17" s="7" t="s">
        <v>41</v>
      </c>
      <c r="K17" s="7">
        <f>B22*B14*F4^2</f>
        <v>0</v>
      </c>
      <c r="L17" s="7"/>
    </row>
    <row r="18" spans="1:17" ht="15" customHeight="1" x14ac:dyDescent="0.45">
      <c r="A18" s="8"/>
      <c r="D18" s="153"/>
      <c r="E18" s="153"/>
      <c r="F18" s="153"/>
      <c r="G18" s="158"/>
      <c r="I18" s="7"/>
      <c r="J18" s="7" t="s">
        <v>42</v>
      </c>
      <c r="K18" s="7">
        <f>B23*B14*F5^2</f>
        <v>0</v>
      </c>
      <c r="L18" s="7"/>
    </row>
    <row r="19" spans="1:17" ht="14.25" customHeight="1" x14ac:dyDescent="0.45">
      <c r="A19" s="23" t="s">
        <v>43</v>
      </c>
      <c r="D19" s="153"/>
      <c r="E19" s="153"/>
      <c r="F19" s="153"/>
      <c r="G19" s="158"/>
      <c r="I19" s="7"/>
      <c r="J19" s="7" t="s">
        <v>44</v>
      </c>
      <c r="K19" s="7">
        <f>$F$11*E22*$D$11*F4^2+$F$13*$D$13*G22*F4^2</f>
        <v>0</v>
      </c>
      <c r="L19" s="7"/>
    </row>
    <row r="20" spans="1:17" ht="14.25" customHeight="1" x14ac:dyDescent="0.45">
      <c r="A20" s="159" t="s">
        <v>45</v>
      </c>
      <c r="B20" s="153"/>
      <c r="C20" s="24"/>
      <c r="D20" s="153"/>
      <c r="E20" s="153"/>
      <c r="F20" s="153"/>
      <c r="G20" s="158"/>
      <c r="I20" s="7"/>
      <c r="J20" s="7" t="s">
        <v>46</v>
      </c>
      <c r="K20" s="7">
        <f>$F$11*E23*$D$11*F5^2+$F$13*$D$13*G23*F5^2</f>
        <v>0</v>
      </c>
      <c r="L20" s="7"/>
    </row>
    <row r="21" spans="1:17" ht="16.5" customHeight="1" x14ac:dyDescent="0.45">
      <c r="A21" s="159" t="s">
        <v>47</v>
      </c>
      <c r="B21" s="153"/>
      <c r="C21" s="15"/>
      <c r="D21" s="3"/>
      <c r="G21" s="10"/>
      <c r="I21" s="7"/>
      <c r="J21" s="17" t="s">
        <v>48</v>
      </c>
      <c r="K21" s="7"/>
      <c r="L21" s="7"/>
    </row>
    <row r="22" spans="1:17" ht="16.5" customHeight="1" x14ac:dyDescent="0.45">
      <c r="A22" s="25" t="s">
        <v>49</v>
      </c>
      <c r="B22" s="160"/>
      <c r="C22" s="160"/>
      <c r="D22" s="3" t="s">
        <v>50</v>
      </c>
      <c r="E22" s="18"/>
      <c r="F22" s="3" t="s">
        <v>51</v>
      </c>
      <c r="G22" s="26"/>
      <c r="I22" s="7"/>
      <c r="J22" s="7" t="s">
        <v>52</v>
      </c>
      <c r="K22" s="7">
        <f>F4/F5</f>
        <v>0.70408163265306123</v>
      </c>
      <c r="L22" s="7"/>
    </row>
    <row r="23" spans="1:17" ht="18.75" customHeight="1" x14ac:dyDescent="0.45">
      <c r="A23" s="25" t="s">
        <v>53</v>
      </c>
      <c r="B23" s="160"/>
      <c r="C23" s="160"/>
      <c r="D23" s="3" t="s">
        <v>54</v>
      </c>
      <c r="E23" s="18"/>
      <c r="F23" s="3" t="s">
        <v>55</v>
      </c>
      <c r="G23" s="26"/>
      <c r="H23" s="27"/>
      <c r="I23" s="7"/>
      <c r="J23" s="7" t="s">
        <v>56</v>
      </c>
      <c r="K23" s="7">
        <f>$B$14/(1+K22^4)</f>
        <v>0</v>
      </c>
      <c r="L23" s="7" t="s">
        <v>31</v>
      </c>
    </row>
    <row r="24" spans="1:17" ht="18.75" customHeight="1" x14ac:dyDescent="0.45">
      <c r="A24" s="161" t="s">
        <v>57</v>
      </c>
      <c r="B24" s="162"/>
      <c r="C24" s="162"/>
      <c r="D24" s="3" t="s">
        <v>58</v>
      </c>
      <c r="E24" s="3" t="s">
        <v>59</v>
      </c>
      <c r="F24" s="3" t="s">
        <v>60</v>
      </c>
      <c r="G24" s="28" t="s">
        <v>61</v>
      </c>
      <c r="H24" s="29"/>
      <c r="I24" s="7"/>
      <c r="J24" s="7" t="s">
        <v>62</v>
      </c>
      <c r="K24" s="7">
        <f>$B$14*(K22^4/(1+K22^4))</f>
        <v>0</v>
      </c>
      <c r="L24" s="7" t="s">
        <v>31</v>
      </c>
    </row>
    <row r="25" spans="1:17" ht="18" customHeight="1" x14ac:dyDescent="0.45">
      <c r="A25" s="161"/>
      <c r="B25" s="162"/>
      <c r="C25" s="162"/>
      <c r="D25" s="24">
        <v>34</v>
      </c>
      <c r="E25" s="24">
        <v>27</v>
      </c>
      <c r="F25" s="24">
        <v>53</v>
      </c>
      <c r="G25" s="30">
        <v>48</v>
      </c>
      <c r="H25" s="29"/>
      <c r="I25" s="7"/>
      <c r="J25" s="7"/>
      <c r="K25" s="7">
        <f>B49*D39/1000</f>
        <v>4.3933306285880241E-2</v>
      </c>
      <c r="L25" s="7"/>
    </row>
    <row r="26" spans="1:17" ht="14.25" customHeight="1" x14ac:dyDescent="0.45">
      <c r="A26" s="159" t="s">
        <v>63</v>
      </c>
      <c r="B26" s="153"/>
      <c r="C26" s="153"/>
      <c r="D26" s="31">
        <f>$F$7-$K$12-($K$13/2/1000)</f>
        <v>0.22</v>
      </c>
      <c r="E26" s="31">
        <f>$F$7-$K$12-($K$13/2/1000)</f>
        <v>0.22</v>
      </c>
      <c r="F26" s="31">
        <f>$F$7-$K$12-($K$13/2/1000)-(K13/1000)</f>
        <v>0.21</v>
      </c>
      <c r="G26" s="32">
        <f>$F$7-$K$12-($K$13/2/1000)-(K13/1000)</f>
        <v>0.21</v>
      </c>
      <c r="H26" s="29"/>
    </row>
    <row r="27" spans="1:17" ht="18" customHeight="1" x14ac:dyDescent="0.45">
      <c r="A27" s="159" t="s">
        <v>64</v>
      </c>
      <c r="B27" s="153"/>
      <c r="C27" s="153"/>
      <c r="D27" s="27">
        <f>F8*D25</f>
        <v>34</v>
      </c>
      <c r="E27" s="27">
        <f>$F$8*E25</f>
        <v>27</v>
      </c>
      <c r="F27" s="27">
        <f>F25*$F$8</f>
        <v>53</v>
      </c>
      <c r="G27" s="33">
        <f>F8*$G$25</f>
        <v>48</v>
      </c>
      <c r="H27" s="29"/>
      <c r="I27" s="7"/>
      <c r="J27" s="34">
        <f>C20</f>
        <v>0</v>
      </c>
      <c r="K27" s="7">
        <v>0.9</v>
      </c>
      <c r="L27" s="7">
        <v>0.85</v>
      </c>
      <c r="N27" s="4">
        <f>2500*3+1500</f>
        <v>9000</v>
      </c>
    </row>
    <row r="28" spans="1:17" ht="12" customHeight="1" x14ac:dyDescent="0.45">
      <c r="A28" s="159" t="s">
        <v>65</v>
      </c>
      <c r="B28" s="153"/>
      <c r="C28" s="153"/>
      <c r="D28" s="27">
        <f>D27/0.9</f>
        <v>37.777777777777779</v>
      </c>
      <c r="E28" s="27">
        <f>E27/0.9</f>
        <v>30</v>
      </c>
      <c r="F28" s="27">
        <f>F27/0.9</f>
        <v>58.888888888888886</v>
      </c>
      <c r="G28" s="33">
        <f>G27/0.9</f>
        <v>53.333333333333329</v>
      </c>
      <c r="H28" s="29"/>
      <c r="I28" s="7" t="str">
        <f>A22</f>
        <v>Caneg=</v>
      </c>
      <c r="J28" s="7">
        <f>L28+(K28-L28)/(K27-L27)*(K27-J27)</f>
        <v>-2.9999999999999888E-2</v>
      </c>
      <c r="K28" s="35">
        <v>5.5E-2</v>
      </c>
      <c r="L28" s="35">
        <v>0.06</v>
      </c>
    </row>
    <row r="29" spans="1:17" x14ac:dyDescent="0.45">
      <c r="A29" s="159" t="s">
        <v>66</v>
      </c>
      <c r="B29" s="153"/>
      <c r="C29" s="153"/>
      <c r="D29" s="27">
        <f>D28/(F8*D26^2)/1000</f>
        <v>0.78053259871441694</v>
      </c>
      <c r="E29" s="27">
        <f>E28/($F$8*E26^2)/1000</f>
        <v>0.6198347107438017</v>
      </c>
      <c r="F29" s="27">
        <f>F28/($F$8*F26^2)/1000</f>
        <v>1.3353489543965735</v>
      </c>
      <c r="G29" s="33">
        <f>G28/($F$8*G26^2)/1000</f>
        <v>1.2093726379440666</v>
      </c>
      <c r="H29" s="29"/>
      <c r="I29" s="7" t="str">
        <f>A23</f>
        <v>Cbneg=</v>
      </c>
      <c r="J29" s="7">
        <f>L29+(K29-L29)/(K27-L27)*(K27-J27)</f>
        <v>0.13899999999999987</v>
      </c>
      <c r="K29" s="35">
        <v>3.6999999999999998E-2</v>
      </c>
      <c r="L29" s="35">
        <v>3.1E-2</v>
      </c>
    </row>
    <row r="30" spans="1:17" x14ac:dyDescent="0.45">
      <c r="A30" s="156" t="s">
        <v>67</v>
      </c>
      <c r="B30" s="157"/>
      <c r="C30" s="157"/>
      <c r="D30" s="36">
        <f>(0.85*$B$6/$B$4)*(1-SQRT(1-(2*D29/(0.85*$B$6))))</f>
        <v>2.0329707014640637E-3</v>
      </c>
      <c r="E30" s="36">
        <f>(0.85*$B$6/$B$4)*(1-SQRT(1-(2*E29/(0.85*$B$6))))</f>
        <v>1.6091200507801235E-3</v>
      </c>
      <c r="F30" s="36">
        <f>(0.85*$B$6/$B$4)*(1-SQRT(1-(2*F29/(0.85*$B$6))))</f>
        <v>3.5186490825018669E-3</v>
      </c>
      <c r="G30" s="37">
        <f>(0.85*$B$6/$B$4)*(1-SQRT(1-(2*G29/(0.85*$B$6))))</f>
        <v>3.1781979827478967E-3</v>
      </c>
      <c r="H30" s="29"/>
    </row>
    <row r="31" spans="1:17" x14ac:dyDescent="0.45">
      <c r="A31" s="156" t="s">
        <v>68</v>
      </c>
      <c r="B31" s="157"/>
      <c r="C31" s="157"/>
      <c r="D31" s="31">
        <f>0.85</f>
        <v>0.85</v>
      </c>
      <c r="E31" s="31">
        <f>0.85</f>
        <v>0.85</v>
      </c>
      <c r="F31" s="31">
        <f>0.85</f>
        <v>0.85</v>
      </c>
      <c r="G31" s="32">
        <f>0.85</f>
        <v>0.85</v>
      </c>
      <c r="H31" s="29"/>
      <c r="I31" s="7"/>
      <c r="J31" s="34">
        <f>C20</f>
        <v>0</v>
      </c>
      <c r="K31" s="7">
        <v>0.9</v>
      </c>
      <c r="L31" s="7">
        <v>0.85</v>
      </c>
    </row>
    <row r="32" spans="1:17" ht="15.75" x14ac:dyDescent="0.45">
      <c r="A32" s="159" t="s">
        <v>69</v>
      </c>
      <c r="B32" s="153"/>
      <c r="C32" s="153"/>
      <c r="D32" s="27">
        <f>D30*F8*D26*10^4</f>
        <v>4.4725355432209399</v>
      </c>
      <c r="E32" s="27">
        <f>E30*F8*E26*10^4</f>
        <v>3.5400641117162714</v>
      </c>
      <c r="F32" s="27">
        <f>F30*$F$8*F26*10^4</f>
        <v>7.3891630732539193</v>
      </c>
      <c r="G32" s="33">
        <f>G30*$F$8*G26*10^4</f>
        <v>6.6742157637705821</v>
      </c>
      <c r="H32" s="29"/>
      <c r="I32" s="7" t="str">
        <f>D22</f>
        <v>CaposDL=</v>
      </c>
      <c r="J32" s="7">
        <f>L32+(K32-L32)/(K31-L31)*(K31-J31)</f>
        <v>-1.2000000000000004E-2</v>
      </c>
      <c r="K32" s="35">
        <v>2.1999999999999999E-2</v>
      </c>
      <c r="L32" s="35">
        <v>2.4E-2</v>
      </c>
      <c r="N32" s="24">
        <v>35</v>
      </c>
      <c r="O32" s="24">
        <v>49</v>
      </c>
      <c r="P32" s="24">
        <v>32</v>
      </c>
      <c r="Q32" s="24">
        <v>51</v>
      </c>
    </row>
    <row r="33" spans="1:12" ht="15.75" x14ac:dyDescent="0.45">
      <c r="A33" s="159" t="s">
        <v>70</v>
      </c>
      <c r="B33" s="153"/>
      <c r="C33" s="153"/>
      <c r="D33" s="27">
        <f>0.0018*$B$4*F7*10^4/413.68</f>
        <v>4.2424095919551341</v>
      </c>
      <c r="E33" s="27">
        <f>0.0018*$B$4*F7*10^4/413.68</f>
        <v>4.2424095919551341</v>
      </c>
      <c r="F33" s="27">
        <f>0.0018*$B$4*F7*10^4/413.68</f>
        <v>4.2424095919551341</v>
      </c>
      <c r="G33" s="33">
        <f>0.0018*$B$4*F7*10^4/413.68</f>
        <v>4.2424095919551341</v>
      </c>
      <c r="I33" s="7" t="str">
        <f>D23</f>
        <v>CbposDL=</v>
      </c>
      <c r="J33" s="7">
        <f>L33+(K33-L33)/(K31-L31)*(K31-J31)</f>
        <v>4.7999999999999973E-2</v>
      </c>
      <c r="K33" s="35">
        <v>1.4E-2</v>
      </c>
      <c r="L33" s="35">
        <v>1.2E-2</v>
      </c>
    </row>
    <row r="34" spans="1:12" ht="15.75" x14ac:dyDescent="0.45">
      <c r="A34" s="159" t="s">
        <v>71</v>
      </c>
      <c r="B34" s="153"/>
      <c r="C34" s="153"/>
      <c r="D34" s="38">
        <f>MAX(D32:D33)</f>
        <v>4.4725355432209399</v>
      </c>
      <c r="E34" s="38">
        <f>MAX(E32:E33)</f>
        <v>4.2424095919551341</v>
      </c>
      <c r="F34" s="38">
        <f>MAX(F32:F33)</f>
        <v>7.3891630732539193</v>
      </c>
      <c r="G34" s="39">
        <f>MAX(G32:G33)</f>
        <v>6.6742157637705821</v>
      </c>
      <c r="I34" s="27"/>
    </row>
    <row r="35" spans="1:12" x14ac:dyDescent="0.45">
      <c r="A35" s="163" t="s">
        <v>35</v>
      </c>
      <c r="B35" s="155"/>
      <c r="C35" s="155"/>
      <c r="D35" s="40">
        <v>12</v>
      </c>
      <c r="E35" s="40">
        <v>12</v>
      </c>
      <c r="F35" s="40">
        <v>16</v>
      </c>
      <c r="G35" s="41">
        <v>16</v>
      </c>
      <c r="I35" s="7"/>
      <c r="J35" s="34">
        <f>C20</f>
        <v>0</v>
      </c>
      <c r="K35" s="7">
        <v>0.9</v>
      </c>
      <c r="L35" s="7">
        <v>0.85</v>
      </c>
    </row>
    <row r="36" spans="1:12" x14ac:dyDescent="0.45">
      <c r="A36" s="159" t="s">
        <v>72</v>
      </c>
      <c r="B36" s="153"/>
      <c r="C36" s="153"/>
      <c r="D36" s="27">
        <f>(D35^2*PI()/4)*F8*1000/D34/100</f>
        <v>252.87073615469674</v>
      </c>
      <c r="E36" s="27">
        <f>(E35^2*PI()/4)*$F$8*1000/E34/100</f>
        <v>266.58749721785148</v>
      </c>
      <c r="F36" s="27">
        <f>(F35^2*PI()/4)*$F$8*1000/F34/100</f>
        <v>272.10379286054433</v>
      </c>
      <c r="G36" s="33">
        <f>(G35^2*PI()/4)*$F$8*1000/G34/100</f>
        <v>301.25176791731002</v>
      </c>
      <c r="I36" s="7" t="str">
        <f>F22</f>
        <v>CaposLL=</v>
      </c>
      <c r="J36" s="7">
        <f>L36+(K36-L36)/(K35-L35)*(K35-J35)</f>
        <v>-1.6999999999999876E-2</v>
      </c>
      <c r="K36" s="35">
        <v>3.4000000000000002E-2</v>
      </c>
      <c r="L36" s="35">
        <v>3.6999999999999998E-2</v>
      </c>
    </row>
    <row r="37" spans="1:12" x14ac:dyDescent="0.45">
      <c r="A37" s="159" t="s">
        <v>73</v>
      </c>
      <c r="B37" s="153"/>
      <c r="C37" s="153"/>
      <c r="D37" s="31">
        <f>MIN(2*$F$7*1000,450)</f>
        <v>450</v>
      </c>
      <c r="E37" s="31">
        <f>MIN(2*$F$7*1000,450)</f>
        <v>450</v>
      </c>
      <c r="F37" s="31">
        <f>MIN(2*$F$7*1000,450)</f>
        <v>450</v>
      </c>
      <c r="G37" s="32">
        <f>MIN(2*$F$7*1000,450)</f>
        <v>450</v>
      </c>
      <c r="I37" s="7" t="str">
        <f>F23</f>
        <v>CbposLL=</v>
      </c>
      <c r="J37" s="7">
        <f>L37+(K37-L37)/(K35-L35)*(K35-J35)</f>
        <v>7.299999999999994E-2</v>
      </c>
      <c r="K37" s="35">
        <v>2.1999999999999999E-2</v>
      </c>
      <c r="L37" s="35">
        <v>1.9E-2</v>
      </c>
    </row>
    <row r="38" spans="1:12" x14ac:dyDescent="0.45">
      <c r="A38" s="163" t="s">
        <v>74</v>
      </c>
      <c r="B38" s="155"/>
      <c r="C38" s="155"/>
      <c r="D38" s="42">
        <v>200</v>
      </c>
      <c r="E38" s="42">
        <v>200</v>
      </c>
      <c r="F38" s="42">
        <v>200</v>
      </c>
      <c r="G38" s="43">
        <v>200</v>
      </c>
    </row>
    <row r="39" spans="1:12" ht="15.75" x14ac:dyDescent="0.45">
      <c r="A39" s="164" t="s">
        <v>75</v>
      </c>
      <c r="B39" s="165"/>
      <c r="C39" s="165"/>
      <c r="D39" s="44">
        <f>F8*(D35^2*PI()/4)/D38*10</f>
        <v>5.6548667764616276</v>
      </c>
      <c r="E39" s="44">
        <f>F8*(E35^2*PI()/4)/E38*10</f>
        <v>5.6548667764616276</v>
      </c>
      <c r="F39" s="44">
        <f>$F$8*(F35^2*PI()/4)/F38*10</f>
        <v>10.053096491487338</v>
      </c>
      <c r="G39" s="45">
        <f>$F$8*(G35^2*PI()/4)/G38*10</f>
        <v>10.053096491487338</v>
      </c>
    </row>
    <row r="40" spans="1:12" ht="15" customHeight="1" thickBot="1" x14ac:dyDescent="0.5">
      <c r="A40" s="166" t="s">
        <v>76</v>
      </c>
      <c r="B40" s="167"/>
      <c r="C40" s="167"/>
      <c r="D40" s="46">
        <f>D39/D34</f>
        <v>1.2643536807734836</v>
      </c>
      <c r="E40" s="46">
        <f>E39/E34</f>
        <v>1.3329374860892571</v>
      </c>
      <c r="F40" s="46">
        <f>F39/F34</f>
        <v>1.3605189643027216</v>
      </c>
      <c r="G40" s="47">
        <f>G39/G34</f>
        <v>1.5062588395865502</v>
      </c>
    </row>
    <row r="41" spans="1:12" x14ac:dyDescent="0.45">
      <c r="D41" s="48" t="str">
        <f>IF(D40&gt;1,"OK","NO")</f>
        <v>OK</v>
      </c>
      <c r="E41" s="48" t="str">
        <f t="shared" ref="E41:G41" si="0">IF(E40&gt;1,"OK","NO")</f>
        <v>OK</v>
      </c>
      <c r="F41" s="48" t="str">
        <f t="shared" si="0"/>
        <v>OK</v>
      </c>
      <c r="G41" s="48" t="str">
        <f t="shared" si="0"/>
        <v>OK</v>
      </c>
    </row>
    <row r="42" spans="1:12" ht="14.65" thickBot="1" x14ac:dyDescent="0.5"/>
    <row r="43" spans="1:12" ht="15.75" x14ac:dyDescent="0.45">
      <c r="A43" s="49" t="s">
        <v>77</v>
      </c>
      <c r="B43" s="50"/>
      <c r="C43" s="50"/>
      <c r="D43" s="51"/>
      <c r="E43" s="50"/>
      <c r="F43" s="50"/>
      <c r="G43" s="52"/>
      <c r="H43" s="53"/>
    </row>
    <row r="44" spans="1:12" x14ac:dyDescent="0.45">
      <c r="A44" s="11" t="s">
        <v>78</v>
      </c>
      <c r="B44" s="3">
        <f>4700*SQRT($B$6)</f>
        <v>25742.960202742808</v>
      </c>
      <c r="C44" s="4" t="s">
        <v>5</v>
      </c>
      <c r="D44" s="9"/>
      <c r="E44" s="54" t="s">
        <v>79</v>
      </c>
      <c r="F44" s="54">
        <v>3</v>
      </c>
      <c r="G44" s="55"/>
      <c r="H44" s="3"/>
    </row>
    <row r="45" spans="1:12" ht="15.75" x14ac:dyDescent="0.45">
      <c r="A45" s="11" t="s">
        <v>80</v>
      </c>
      <c r="B45" s="56">
        <f>F8*F7^3/12</f>
        <v>1.3020833333333333E-3</v>
      </c>
      <c r="C45" s="4" t="s">
        <v>81</v>
      </c>
      <c r="D45" s="3"/>
      <c r="E45" s="168" t="s">
        <v>82</v>
      </c>
      <c r="F45" s="169"/>
      <c r="G45" s="170"/>
    </row>
    <row r="46" spans="1:12" x14ac:dyDescent="0.45">
      <c r="A46" s="11" t="s">
        <v>83</v>
      </c>
      <c r="B46" s="3">
        <f>0.63*SQRT($B$6)</f>
        <v>3.4506521122825466</v>
      </c>
      <c r="C46" s="4" t="s">
        <v>5</v>
      </c>
      <c r="D46" s="3"/>
      <c r="E46" s="57" t="s">
        <v>84</v>
      </c>
      <c r="F46" s="58">
        <f>1000*B53*F4^2*$F$8/(16*$B$44*$B$51*1000)</f>
        <v>3.9110762891272035</v>
      </c>
      <c r="G46" s="55" t="s">
        <v>36</v>
      </c>
    </row>
    <row r="47" spans="1:12" x14ac:dyDescent="0.45">
      <c r="A47" s="11" t="s">
        <v>85</v>
      </c>
      <c r="B47" s="3">
        <f>F7/2</f>
        <v>0.125</v>
      </c>
      <c r="C47" s="4" t="s">
        <v>7</v>
      </c>
      <c r="E47" s="59" t="s">
        <v>86</v>
      </c>
      <c r="F47" s="58">
        <f>1000*B54*F5^2*$F$8/(16*$B$44*$B$51*1000)</f>
        <v>14.651954776910902</v>
      </c>
      <c r="G47" s="55" t="s">
        <v>36</v>
      </c>
    </row>
    <row r="48" spans="1:12" x14ac:dyDescent="0.45">
      <c r="A48" s="11" t="s">
        <v>87</v>
      </c>
      <c r="B48" s="24">
        <f>B46*B45*1000/B47</f>
        <v>35.944292836276524</v>
      </c>
      <c r="C48" s="4" t="s">
        <v>88</v>
      </c>
      <c r="D48" s="3"/>
      <c r="E48" s="59" t="s">
        <v>89</v>
      </c>
      <c r="F48" s="58">
        <f>(F46+F47)/2</f>
        <v>9.2815155330190535</v>
      </c>
      <c r="G48" s="55" t="s">
        <v>36</v>
      </c>
    </row>
    <row r="49" spans="1:15" x14ac:dyDescent="0.45">
      <c r="A49" s="11" t="s">
        <v>90</v>
      </c>
      <c r="B49" s="60">
        <f>B5/B44</f>
        <v>7.7691142908534196</v>
      </c>
      <c r="D49" s="3"/>
      <c r="E49" s="61" t="s">
        <v>91</v>
      </c>
      <c r="F49" s="58">
        <f>F48*F44/2</f>
        <v>13.92227329952858</v>
      </c>
      <c r="G49" s="55" t="s">
        <v>36</v>
      </c>
    </row>
    <row r="50" spans="1:15" x14ac:dyDescent="0.45">
      <c r="A50" s="11" t="s">
        <v>92</v>
      </c>
      <c r="B50" s="18">
        <f>(-K25+SQRT(K25^2+2*K25*F8*E26))/F8</f>
        <v>0.10187749635574941</v>
      </c>
      <c r="C50" s="4" t="s">
        <v>7</v>
      </c>
      <c r="E50" s="168" t="s">
        <v>93</v>
      </c>
      <c r="F50" s="169"/>
      <c r="G50" s="170"/>
    </row>
    <row r="51" spans="1:15" ht="15.75" x14ac:dyDescent="0.45">
      <c r="A51" s="11" t="s">
        <v>94</v>
      </c>
      <c r="B51" s="56">
        <f>(F8*B50^3/3)+(B49*D39/10000*(E26-B50)^2)</f>
        <v>4.1376281877170454E-4</v>
      </c>
      <c r="C51" s="4" t="s">
        <v>81</v>
      </c>
      <c r="E51" s="62" t="s">
        <v>95</v>
      </c>
      <c r="F51" s="58">
        <f>1000*3*B55*F4^2*$F$8/(32*$B$44*$B$51*1000)</f>
        <v>4.6094827693284897</v>
      </c>
      <c r="G51" s="55" t="s">
        <v>36</v>
      </c>
      <c r="H51" s="63"/>
      <c r="J51" s="153"/>
      <c r="K51" s="153"/>
      <c r="L51" s="153"/>
      <c r="M51" s="3"/>
      <c r="N51" s="3"/>
      <c r="O51" s="3"/>
    </row>
    <row r="52" spans="1:15" ht="15.75" x14ac:dyDescent="0.45">
      <c r="A52" s="11" t="s">
        <v>96</v>
      </c>
      <c r="B52" s="56">
        <f>(B48/B53)^3*B45+(1-(B48/B53)^3)*B51</f>
        <v>1.5447792937225698E-2</v>
      </c>
      <c r="C52" s="4" t="s">
        <v>81</v>
      </c>
      <c r="E52" s="62" t="s">
        <v>97</v>
      </c>
      <c r="F52" s="58">
        <f>1000*3*B56*F5^2*$F$8/(32*$B$44*$B$51*1000)</f>
        <v>11.834271165966499</v>
      </c>
      <c r="G52" s="55" t="s">
        <v>36</v>
      </c>
      <c r="J52" s="173"/>
      <c r="K52" s="173"/>
      <c r="L52" s="173"/>
      <c r="M52" s="3"/>
      <c r="N52" s="3"/>
      <c r="O52" s="3"/>
    </row>
    <row r="53" spans="1:15" ht="15.75" x14ac:dyDescent="0.45">
      <c r="A53" s="11" t="s">
        <v>98</v>
      </c>
      <c r="B53" s="24">
        <v>14</v>
      </c>
      <c r="C53" s="4" t="s">
        <v>88</v>
      </c>
      <c r="E53" s="62" t="s">
        <v>99</v>
      </c>
      <c r="F53" s="58">
        <f>(F51+F52)/2</f>
        <v>8.2218769676474945</v>
      </c>
      <c r="G53" s="64" t="s">
        <v>36</v>
      </c>
      <c r="J53" s="173"/>
      <c r="K53" s="173"/>
      <c r="L53" s="173"/>
      <c r="M53" s="3"/>
      <c r="N53" s="65"/>
      <c r="O53" s="65"/>
    </row>
    <row r="54" spans="1:15" ht="15.75" x14ac:dyDescent="0.45">
      <c r="A54" s="11" t="s">
        <v>100</v>
      </c>
      <c r="B54" s="24">
        <v>26</v>
      </c>
      <c r="C54" s="4" t="s">
        <v>88</v>
      </c>
      <c r="E54" s="168" t="s">
        <v>101</v>
      </c>
      <c r="F54" s="169"/>
      <c r="G54" s="170"/>
      <c r="J54" s="173"/>
      <c r="K54" s="173"/>
      <c r="L54" s="173"/>
      <c r="M54" s="3"/>
      <c r="N54" s="65"/>
      <c r="O54" s="65"/>
    </row>
    <row r="55" spans="1:15" ht="15.75" x14ac:dyDescent="0.45">
      <c r="A55" s="11" t="s">
        <v>102</v>
      </c>
      <c r="B55" s="24">
        <v>11</v>
      </c>
      <c r="C55" s="4" t="s">
        <v>88</v>
      </c>
      <c r="E55" s="62" t="s">
        <v>103</v>
      </c>
      <c r="F55" s="66">
        <f>F49+F53</f>
        <v>22.144150267176073</v>
      </c>
      <c r="G55" s="55" t="s">
        <v>36</v>
      </c>
      <c r="J55" s="173"/>
      <c r="K55" s="173"/>
      <c r="L55" s="173"/>
      <c r="M55" s="3"/>
      <c r="N55" s="65"/>
      <c r="O55" s="65"/>
    </row>
    <row r="56" spans="1:15" ht="15.75" x14ac:dyDescent="0.45">
      <c r="A56" s="11" t="s">
        <v>104</v>
      </c>
      <c r="B56" s="24">
        <v>14</v>
      </c>
      <c r="C56" s="4" t="s">
        <v>88</v>
      </c>
      <c r="E56" s="62" t="s">
        <v>105</v>
      </c>
      <c r="F56" s="137">
        <f>F4/240*1000</f>
        <v>28.75</v>
      </c>
      <c r="G56" s="67" t="s">
        <v>36</v>
      </c>
      <c r="K56" s="68"/>
      <c r="L56" s="68"/>
    </row>
    <row r="57" spans="1:15" ht="15" x14ac:dyDescent="0.45">
      <c r="A57" s="8"/>
      <c r="F57" s="174" t="str">
        <f>IF((F55/F56)&lt;1,"OK","NO")</f>
        <v>OK</v>
      </c>
      <c r="G57" s="175"/>
      <c r="K57" s="68"/>
      <c r="L57" s="68"/>
    </row>
    <row r="58" spans="1:15" ht="15" x14ac:dyDescent="0.45">
      <c r="A58" s="8"/>
      <c r="G58" s="10"/>
      <c r="K58" s="68"/>
      <c r="L58" s="68"/>
    </row>
    <row r="59" spans="1:15" ht="15" x14ac:dyDescent="0.45">
      <c r="A59" s="8"/>
      <c r="B59" s="168" t="s">
        <v>106</v>
      </c>
      <c r="C59" s="169"/>
      <c r="D59" s="171"/>
      <c r="E59" s="62" t="s">
        <v>35</v>
      </c>
      <c r="F59" s="62" t="s">
        <v>107</v>
      </c>
      <c r="G59" s="10"/>
      <c r="K59" s="68"/>
      <c r="L59" s="69"/>
    </row>
    <row r="60" spans="1:15" ht="15" x14ac:dyDescent="0.45">
      <c r="A60" s="8"/>
      <c r="B60" s="172" t="s">
        <v>108</v>
      </c>
      <c r="C60" s="172"/>
      <c r="D60" s="62" t="s">
        <v>109</v>
      </c>
      <c r="E60" s="70">
        <f>K13</f>
        <v>10</v>
      </c>
      <c r="F60" s="71">
        <f>D38</f>
        <v>200</v>
      </c>
      <c r="G60" s="10"/>
      <c r="K60" s="68"/>
      <c r="L60" s="68"/>
    </row>
    <row r="61" spans="1:15" ht="16.5" customHeight="1" x14ac:dyDescent="0.45">
      <c r="A61" s="8"/>
      <c r="B61" s="172"/>
      <c r="C61" s="172"/>
      <c r="D61" s="62" t="s">
        <v>110</v>
      </c>
      <c r="E61" s="70">
        <f>E60</f>
        <v>10</v>
      </c>
      <c r="F61" s="71">
        <f>F38</f>
        <v>200</v>
      </c>
      <c r="G61" s="72"/>
      <c r="K61" s="68"/>
      <c r="L61" s="68"/>
    </row>
    <row r="62" spans="1:15" ht="16.5" customHeight="1" x14ac:dyDescent="0.45">
      <c r="A62" s="8"/>
      <c r="B62" s="172" t="s">
        <v>111</v>
      </c>
      <c r="C62" s="172"/>
      <c r="D62" s="62" t="s">
        <v>109</v>
      </c>
      <c r="E62" s="70">
        <f t="shared" ref="E62:E63" si="1">E61</f>
        <v>10</v>
      </c>
      <c r="F62" s="71">
        <f>E38</f>
        <v>200</v>
      </c>
      <c r="G62" s="10"/>
      <c r="K62" s="68"/>
      <c r="L62" s="68"/>
    </row>
    <row r="63" spans="1:15" ht="16.5" customHeight="1" x14ac:dyDescent="0.45">
      <c r="A63" s="8"/>
      <c r="B63" s="172"/>
      <c r="C63" s="172"/>
      <c r="D63" s="62" t="s">
        <v>110</v>
      </c>
      <c r="E63" s="70">
        <f t="shared" si="1"/>
        <v>10</v>
      </c>
      <c r="F63" s="71">
        <f>G38</f>
        <v>200</v>
      </c>
      <c r="G63" s="10"/>
      <c r="K63" s="68"/>
      <c r="L63" s="68"/>
    </row>
    <row r="64" spans="1:15" ht="16.5" customHeight="1" x14ac:dyDescent="0.45">
      <c r="A64" s="8"/>
      <c r="D64" s="73"/>
      <c r="E64" s="3"/>
      <c r="F64" s="3"/>
      <c r="G64" s="10"/>
      <c r="K64" s="68"/>
      <c r="L64" s="68"/>
    </row>
    <row r="65" spans="1:12" ht="15" customHeight="1" x14ac:dyDescent="0.45">
      <c r="A65" s="8"/>
      <c r="D65" s="3"/>
      <c r="E65" s="3"/>
      <c r="F65" s="3"/>
      <c r="G65" s="10"/>
      <c r="K65" s="68"/>
      <c r="L65" s="68"/>
    </row>
    <row r="66" spans="1:12" ht="15" customHeight="1" x14ac:dyDescent="0.45">
      <c r="A66" s="8"/>
      <c r="E66" s="3"/>
      <c r="F66" s="3"/>
      <c r="G66" s="10"/>
      <c r="K66" s="68"/>
      <c r="L66" s="68"/>
    </row>
    <row r="67" spans="1:12" x14ac:dyDescent="0.45">
      <c r="A67" s="8"/>
      <c r="E67" s="3"/>
      <c r="F67" s="3"/>
      <c r="G67" s="10"/>
    </row>
    <row r="68" spans="1:12" x14ac:dyDescent="0.45">
      <c r="A68" s="8"/>
      <c r="E68" s="3"/>
      <c r="F68" s="3"/>
      <c r="G68" s="10"/>
    </row>
    <row r="69" spans="1:12" ht="19.5" customHeight="1" x14ac:dyDescent="0.45">
      <c r="A69" s="8"/>
      <c r="E69" s="3"/>
      <c r="F69" s="3"/>
      <c r="G69" s="10"/>
    </row>
    <row r="70" spans="1:12" x14ac:dyDescent="0.45">
      <c r="A70" s="8"/>
      <c r="E70" s="3"/>
      <c r="F70" s="3"/>
      <c r="G70" s="10"/>
    </row>
    <row r="71" spans="1:12" ht="15" customHeight="1" x14ac:dyDescent="0.45">
      <c r="A71" s="8"/>
      <c r="E71" s="3"/>
      <c r="F71" s="3"/>
      <c r="G71" s="10"/>
    </row>
    <row r="72" spans="1:12" ht="15" customHeight="1" thickBot="1" x14ac:dyDescent="0.5">
      <c r="A72" s="74"/>
      <c r="B72" s="75"/>
      <c r="C72" s="75"/>
      <c r="D72" s="75"/>
      <c r="E72" s="76"/>
      <c r="F72" s="76"/>
      <c r="G72" s="77"/>
    </row>
    <row r="73" spans="1:12" x14ac:dyDescent="0.45">
      <c r="E73" s="3"/>
      <c r="F73" s="3"/>
    </row>
    <row r="74" spans="1:12" x14ac:dyDescent="0.45">
      <c r="E74" s="3"/>
      <c r="F74" s="3"/>
    </row>
    <row r="84" spans="1:5" ht="15.75" x14ac:dyDescent="0.45">
      <c r="A84" s="53"/>
      <c r="B84" s="3"/>
      <c r="C84" s="53"/>
      <c r="D84" s="3"/>
    </row>
    <row r="85" spans="1:5" x14ac:dyDescent="0.45">
      <c r="A85" s="3"/>
      <c r="B85" s="78"/>
      <c r="C85" s="3"/>
      <c r="D85" s="3"/>
    </row>
    <row r="87" spans="1:5" x14ac:dyDescent="0.45">
      <c r="B87" s="24"/>
      <c r="D87" s="24"/>
    </row>
    <row r="88" spans="1:5" x14ac:dyDescent="0.45">
      <c r="B88" s="24"/>
      <c r="D88" s="24"/>
    </row>
    <row r="89" spans="1:5" x14ac:dyDescent="0.45">
      <c r="B89" s="24"/>
      <c r="D89" s="24"/>
    </row>
    <row r="90" spans="1:5" x14ac:dyDescent="0.45">
      <c r="B90" s="18"/>
      <c r="D90" s="18"/>
    </row>
    <row r="91" spans="1:5" ht="20.25" customHeight="1" x14ac:dyDescent="0.45">
      <c r="B91" s="24"/>
      <c r="D91" s="24"/>
    </row>
    <row r="92" spans="1:5" ht="19.5" customHeight="1" x14ac:dyDescent="0.45">
      <c r="B92" s="24"/>
      <c r="D92" s="24"/>
    </row>
    <row r="93" spans="1:5" x14ac:dyDescent="0.45">
      <c r="B93" s="24"/>
      <c r="D93" s="24"/>
    </row>
    <row r="95" spans="1:5" x14ac:dyDescent="0.45">
      <c r="E95" s="79"/>
    </row>
    <row r="96" spans="1:5" x14ac:dyDescent="0.45">
      <c r="A96" s="80"/>
      <c r="B96" s="80"/>
      <c r="C96" s="80"/>
      <c r="D96" s="80"/>
      <c r="E96" s="81"/>
    </row>
    <row r="97" spans="1:5" x14ac:dyDescent="0.45">
      <c r="E97" s="81"/>
    </row>
    <row r="98" spans="1:5" x14ac:dyDescent="0.45">
      <c r="E98" s="81"/>
    </row>
    <row r="99" spans="1:5" ht="18" customHeight="1" x14ac:dyDescent="0.45">
      <c r="E99" s="81"/>
    </row>
    <row r="100" spans="1:5" x14ac:dyDescent="0.45">
      <c r="E100" s="81"/>
    </row>
    <row r="101" spans="1:5" x14ac:dyDescent="0.45">
      <c r="E101" s="81"/>
    </row>
    <row r="102" spans="1:5" x14ac:dyDescent="0.45">
      <c r="E102" s="81"/>
    </row>
    <row r="103" spans="1:5" x14ac:dyDescent="0.45">
      <c r="E103" s="81"/>
    </row>
    <row r="104" spans="1:5" x14ac:dyDescent="0.45">
      <c r="E104" s="81"/>
    </row>
    <row r="105" spans="1:5" x14ac:dyDescent="0.45">
      <c r="E105" s="81"/>
    </row>
    <row r="106" spans="1:5" x14ac:dyDescent="0.45">
      <c r="E106" s="81"/>
    </row>
    <row r="107" spans="1:5" x14ac:dyDescent="0.45">
      <c r="E107" s="81"/>
    </row>
    <row r="108" spans="1:5" x14ac:dyDescent="0.45">
      <c r="E108" s="81"/>
    </row>
    <row r="109" spans="1:5" x14ac:dyDescent="0.45">
      <c r="E109" s="81"/>
    </row>
    <row r="110" spans="1:5" x14ac:dyDescent="0.45">
      <c r="E110" s="82"/>
    </row>
    <row r="111" spans="1:5" x14ac:dyDescent="0.45">
      <c r="A111" s="83"/>
      <c r="B111" s="83"/>
      <c r="C111" s="83"/>
      <c r="D111" s="83"/>
    </row>
    <row r="117" ht="15.75" customHeight="1" x14ac:dyDescent="0.45"/>
    <row r="118" ht="15.75" customHeight="1" x14ac:dyDescent="0.45"/>
    <row r="130" ht="87.75" customHeight="1" x14ac:dyDescent="0.45"/>
  </sheetData>
  <mergeCells count="41">
    <mergeCell ref="B59:D59"/>
    <mergeCell ref="B60:C61"/>
    <mergeCell ref="B62:C63"/>
    <mergeCell ref="J52:L52"/>
    <mergeCell ref="J53:L53"/>
    <mergeCell ref="E54:G54"/>
    <mergeCell ref="J54:L54"/>
    <mergeCell ref="J55:L55"/>
    <mergeCell ref="F57:G57"/>
    <mergeCell ref="J51:L51"/>
    <mergeCell ref="A32:C32"/>
    <mergeCell ref="A33:C33"/>
    <mergeCell ref="A34:C34"/>
    <mergeCell ref="A35:C35"/>
    <mergeCell ref="A36:C36"/>
    <mergeCell ref="A37:C37"/>
    <mergeCell ref="A38:C38"/>
    <mergeCell ref="A39:C39"/>
    <mergeCell ref="A40:C40"/>
    <mergeCell ref="E45:G45"/>
    <mergeCell ref="E50:G50"/>
    <mergeCell ref="A31:C31"/>
    <mergeCell ref="D15:G20"/>
    <mergeCell ref="A20:B20"/>
    <mergeCell ref="A21:B21"/>
    <mergeCell ref="B22:C22"/>
    <mergeCell ref="B23:C23"/>
    <mergeCell ref="A24:C25"/>
    <mergeCell ref="A26:C26"/>
    <mergeCell ref="A27:C27"/>
    <mergeCell ref="A28:C28"/>
    <mergeCell ref="A29:C29"/>
    <mergeCell ref="A30:C30"/>
    <mergeCell ref="A1:G1"/>
    <mergeCell ref="A2:C2"/>
    <mergeCell ref="F2:G2"/>
    <mergeCell ref="A10:C10"/>
    <mergeCell ref="A11:A12"/>
    <mergeCell ref="D11:D12"/>
    <mergeCell ref="E11:E12"/>
    <mergeCell ref="F11:F12"/>
  </mergeCells>
  <printOptions horizontalCentered="1"/>
  <pageMargins left="0.25" right="0.25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sheetPr codeName="Sheet54">
    <tabColor rgb="FF002060"/>
  </sheetPr>
  <dimension ref="A1:R51"/>
  <sheetViews>
    <sheetView view="pageLayout" zoomScaleNormal="100" workbookViewId="0">
      <selection activeCell="C21" sqref="C21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301*10^6</f>
        <v>301000000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428*10^6</f>
        <v>428000000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110*10^6</f>
        <v>110000000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187*10^6</f>
        <v>187000000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v>332000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7000</v>
      </c>
      <c r="C10" s="98" t="s">
        <v>36</v>
      </c>
      <c r="E10" s="96" t="s">
        <v>139</v>
      </c>
      <c r="F10" s="99">
        <f>F7+F8</f>
        <v>297000000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2.0285884043999745</v>
      </c>
      <c r="C15" s="110">
        <f>$F$6/($F$11*B8*B12^2)</f>
        <v>2.8845044421368411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5.4267082027169783E-3</v>
      </c>
      <c r="C16" s="114">
        <f>0.85*$B$5/$B$6*(1-SQRT(1-(2*C15/(0.85*$B$5))))</f>
        <v>7.869773035811491E-3</v>
      </c>
      <c r="E16" s="96" t="s">
        <v>151</v>
      </c>
      <c r="F16" s="110">
        <f>B22*$B$6/(0.85*$B$5*$B$8)</f>
        <v>72.071831464707017</v>
      </c>
      <c r="G16" s="112">
        <f>C22*$B$6/(0.85*$B$5*$B$8)</f>
        <v>96.095775286276037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113.05385327797181</v>
      </c>
    </row>
    <row r="18" spans="1:18" ht="18" customHeight="1" x14ac:dyDescent="0.45">
      <c r="A18" s="94" t="s">
        <v>154</v>
      </c>
      <c r="B18" s="113">
        <f>MAX(B16:B17)</f>
        <v>5.4267082027169783E-3</v>
      </c>
      <c r="C18" s="114">
        <f>MAX(C16:C17)</f>
        <v>7.869773035811491E-3</v>
      </c>
      <c r="E18" s="96" t="s">
        <v>155</v>
      </c>
      <c r="F18" s="115">
        <f>0.003*($B$12-F17)/F17</f>
        <v>1.9714838331833906E-2</v>
      </c>
      <c r="G18" s="116">
        <f>0.003*($B$12-G17)/G17</f>
        <v>1.4036128748875427E-2</v>
      </c>
    </row>
    <row r="19" spans="1:18" ht="18" customHeight="1" x14ac:dyDescent="0.45">
      <c r="A19" s="94" t="s">
        <v>156</v>
      </c>
      <c r="B19" s="110">
        <f>$K$10*B18</f>
        <v>1393.5786664577201</v>
      </c>
      <c r="C19" s="117">
        <f>$K$10*C18</f>
        <v>2020.9577155963909</v>
      </c>
      <c r="E19" s="96" t="s">
        <v>157</v>
      </c>
      <c r="F19" s="118">
        <f>B22*$B$6*($B$12-F16/2)</f>
        <v>445464001.82103413</v>
      </c>
      <c r="G19" s="119">
        <f>C22*$B$6*($B$12-G16/2)</f>
        <v>582178144.9425106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400917601.63893074</v>
      </c>
      <c r="G20" s="119">
        <f>$F$11*G19</f>
        <v>523960330.44825953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6</v>
      </c>
      <c r="C21" s="95">
        <v>8</v>
      </c>
      <c r="E21" s="96" t="s">
        <v>76</v>
      </c>
      <c r="F21" s="120">
        <f>F20/F5</f>
        <v>1.3319521649133912</v>
      </c>
      <c r="G21" s="121">
        <f>G20/F6</f>
        <v>1.2242063795520082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1884.9555921538758</v>
      </c>
      <c r="C22" s="123">
        <f>C20^2*PI()/4*C21</f>
        <v>2513.2741228718346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332000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152664.68022165852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4*B27^2*PI()/4</f>
        <v>201.06192982974676</v>
      </c>
      <c r="C28" s="85" t="s">
        <v>175</v>
      </c>
      <c r="E28" s="96" t="s">
        <v>176</v>
      </c>
      <c r="F28" s="111">
        <f>MIN((B28*B7/(B8*0.062*SQRT(B5))),(B28*B7/(0.345*B8)),B12/2,600)</f>
        <v>320.5335113227847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139.51157658694299</v>
      </c>
      <c r="C29" s="104" t="s">
        <v>36</v>
      </c>
      <c r="D29" s="104"/>
      <c r="E29" s="105" t="s">
        <v>178</v>
      </c>
      <c r="F29" s="128">
        <f>MIN(B29,F28)</f>
        <v>139.51157658694299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206.25592473998518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4877366915.9605799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0.7779925116627554</v>
      </c>
      <c r="D38" s="118">
        <f>$B$34/F10</f>
        <v>0.28814537468990942</v>
      </c>
      <c r="E38" s="118">
        <f>B34/F8</f>
        <v>0.45764265391926784</v>
      </c>
      <c r="F38" s="118">
        <f>B34/(F7+0.5*F8)</f>
        <v>0.42053649279067856</v>
      </c>
      <c r="G38" s="119">
        <f>MAX($B$34,($F$7+0.5*$F$8))</f>
        <v>203500000</v>
      </c>
    </row>
    <row r="39" spans="1:7" ht="18" customHeight="1" x14ac:dyDescent="0.45">
      <c r="A39" s="189" t="s">
        <v>193</v>
      </c>
      <c r="B39" s="190"/>
      <c r="C39" s="118">
        <f>C38^3*$B$32+(1-C38^3)*$B$36</f>
        <v>6734088194.4993763</v>
      </c>
      <c r="D39" s="118">
        <f>D38^3*$B$32+(1-D38^3)*$B$36</f>
        <v>4971698129.6240864</v>
      </c>
      <c r="E39" s="118">
        <f>$B$32*($B$34/E38)^3+(1-($B$34/E38)^3)*$B$36</f>
        <v>2.5783702628298621E+34</v>
      </c>
      <c r="F39" s="118">
        <f>$B$32*($B$34/F38)^3+(1-($B$34/F38)^3)*$B$36</f>
        <v>3.322872708200717E+34</v>
      </c>
      <c r="G39" s="119">
        <f>$B$32*($B$34/G38)^3+(1-($B$34/G38)^3)*$B$36</f>
        <v>5170612532.7712402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3.2387710371701064</v>
      </c>
      <c r="D40" s="110">
        <f>(5/48)*$F$10*$B$10^2/($F$31*$C$39)</f>
        <v>8.7446818003592863</v>
      </c>
      <c r="E40" s="110">
        <f>D40-C40</f>
        <v>5.5059107631891795</v>
      </c>
      <c r="F40" s="110">
        <f>(5/48)*(F7+0.5*F8)*$B$10^2/($F$31*$C$39)</f>
        <v>5.9917264187646975</v>
      </c>
      <c r="G40" s="112">
        <f>F40-C40</f>
        <v>2.7529553815945911</v>
      </c>
    </row>
    <row r="41" spans="1:7" ht="18" customHeight="1" x14ac:dyDescent="0.45">
      <c r="A41" s="94" t="s">
        <v>195</v>
      </c>
      <c r="B41" s="110">
        <f>E40+(C40*F34)+(G40*F35)</f>
        <v>16.938772524399656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29.166666666666668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sheetPr codeName="Sheet63"/>
  <dimension ref="A1:R51"/>
  <sheetViews>
    <sheetView view="pageLayout" topLeftCell="A16" zoomScaleNormal="100" workbookViewId="0">
      <selection activeCell="A4" sqref="A4:D4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155*10^6</f>
        <v>155000000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130*10^6</f>
        <v>130000000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85*10^6</f>
        <v>85000000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18*10^6</f>
        <v>18000000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115*10^3</f>
        <v>115000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10700</v>
      </c>
      <c r="C10" s="98" t="s">
        <v>36</v>
      </c>
      <c r="E10" s="96" t="s">
        <v>139</v>
      </c>
      <c r="F10" s="99">
        <f>F7+F8</f>
        <v>103000000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1.0446219358205848</v>
      </c>
      <c r="C15" s="110">
        <f>$F$6/($F$11*B8*B12^2)</f>
        <v>0.87613452681726478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2.7357509195799191E-3</v>
      </c>
      <c r="C16" s="114">
        <f>0.85*$B$5/$B$6*(1-SQRT(1-(2*C15/(0.85*$B$5))))</f>
        <v>2.2864774506645602E-3</v>
      </c>
      <c r="E16" s="96" t="s">
        <v>151</v>
      </c>
      <c r="F16" s="110">
        <f>B22*$B$6/(0.85*$B$5*$B$8)</f>
        <v>36.035915732353509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42.39519497923942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3.5897435897435893E-3</v>
      </c>
      <c r="C18" s="114">
        <f>MAX(C16:C17)</f>
        <v>3.5897435897435893E-3</v>
      </c>
      <c r="E18" s="96" t="s">
        <v>155</v>
      </c>
      <c r="F18" s="115">
        <f>0.003*($B$12-F17)/F17</f>
        <v>4.2429676663667808E-2</v>
      </c>
      <c r="G18" s="116">
        <f>0.003*($B$12-G17)/G17</f>
        <v>4.2429676663667808E-2</v>
      </c>
    </row>
    <row r="19" spans="1:18" ht="18" customHeight="1" x14ac:dyDescent="0.45">
      <c r="A19" s="94" t="s">
        <v>156</v>
      </c>
      <c r="B19" s="110">
        <f>$K$10*B18</f>
        <v>921.8461538461537</v>
      </c>
      <c r="C19" s="117">
        <f>$K$10*C18</f>
        <v>921.8461538461537</v>
      </c>
      <c r="E19" s="96" t="s">
        <v>157</v>
      </c>
      <c r="F19" s="118">
        <f>B22*$B$6*($B$12-F16/2)</f>
        <v>229354795.74613041</v>
      </c>
      <c r="G19" s="119">
        <f>C22*$B$6*($B$12-G16/2)</f>
        <v>229354795.74613041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206419316.17151737</v>
      </c>
      <c r="G20" s="119">
        <f>$F$11*G19</f>
        <v>206419316.17151737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3</v>
      </c>
      <c r="C21" s="95">
        <v>3</v>
      </c>
      <c r="E21" s="96" t="s">
        <v>76</v>
      </c>
      <c r="F21" s="120">
        <f>F20/F5</f>
        <v>1.3317375236872089</v>
      </c>
      <c r="G21" s="121">
        <f>G20/F6</f>
        <v>1.5878408936270567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942.47779607693792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115000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160.26675566139235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136.09462350734012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2210144915.1727953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1.0068138386223893</v>
      </c>
      <c r="D38" s="118">
        <f>$B$34/F10</f>
        <v>0.8308657891543989</v>
      </c>
      <c r="E38" s="118">
        <f>B34/F8</f>
        <v>4.7543986823835054</v>
      </c>
      <c r="F38" s="118">
        <f>B34/(F7+0.5*F8)</f>
        <v>0.91041676896705415</v>
      </c>
      <c r="G38" s="119">
        <f>MAX($B$34,($F$7+0.5*$F$8))</f>
        <v>94000000</v>
      </c>
    </row>
    <row r="39" spans="1:7" ht="18" customHeight="1" x14ac:dyDescent="0.45">
      <c r="A39" s="189" t="s">
        <v>193</v>
      </c>
      <c r="B39" s="190"/>
      <c r="C39" s="118">
        <f>C38^3*$B$32+(1-C38^3)*$B$36</f>
        <v>8956354175.4982662</v>
      </c>
      <c r="D39" s="118">
        <f>D38^3*$B$32+(1-D38^3)*$B$36</f>
        <v>6001591234.3333721</v>
      </c>
      <c r="E39" s="118">
        <f>$B$32*($B$34/E38)^3+(1-($B$34/E38)^3)*$B$36</f>
        <v>3.855048044191225E+31</v>
      </c>
      <c r="F39" s="118">
        <f>$B$32*($B$34/F38)^3+(1-($B$34/F38)^3)*$B$36</f>
        <v>5.4902970245825173E+33</v>
      </c>
      <c r="G39" s="119">
        <f>$B$32*($B$34/G38)^3+(1-($B$34/G38)^3)*$B$36</f>
        <v>7198220488.5011768</v>
      </c>
    </row>
    <row r="40" spans="1:7" ht="18" customHeight="1" x14ac:dyDescent="0.45">
      <c r="A40" s="189" t="s">
        <v>194</v>
      </c>
      <c r="B40" s="190"/>
      <c r="C40" s="110">
        <f>(5/48)*$F$7*$B$10^2/($F$31*$C$39)</f>
        <v>4.396686536213263</v>
      </c>
      <c r="D40" s="110">
        <f>(5/48)*$F$10*$B$10^2/($F$31*$C$39)</f>
        <v>5.3277495674113657</v>
      </c>
      <c r="E40" s="110">
        <f>D40-C40</f>
        <v>0.93106303119810274</v>
      </c>
      <c r="F40" s="110">
        <f>(5/48)*(F7+0.5*F8)*$B$10^2/($F$31*$C$39)</f>
        <v>4.8622180518123148</v>
      </c>
      <c r="G40" s="112">
        <f>F40-C40</f>
        <v>0.46553151559905182</v>
      </c>
    </row>
    <row r="41" spans="1:7" ht="18" customHeight="1" x14ac:dyDescent="0.45">
      <c r="A41" s="94" t="s">
        <v>195</v>
      </c>
      <c r="B41" s="110">
        <f>E40+(C40*F34)+(G40*F35)</f>
        <v>10.562392831702923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44.583333333333336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7">
    <tabColor rgb="FF00B050"/>
  </sheetPr>
  <dimension ref="A1:R51"/>
  <sheetViews>
    <sheetView topLeftCell="G10" zoomScale="55" zoomScaleNormal="55" zoomScalePageLayoutView="85" workbookViewId="0">
      <selection activeCell="E38" sqref="E38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  <c r="H2" s="89">
        <f>266*10^6</f>
        <v>266000000</v>
      </c>
    </row>
    <row r="3" spans="1:17" ht="18" customHeight="1" x14ac:dyDescent="0.45">
      <c r="A3" s="181" t="s">
        <v>227</v>
      </c>
      <c r="B3" s="182"/>
      <c r="C3" s="182"/>
      <c r="D3" s="182"/>
      <c r="E3" s="182"/>
      <c r="F3" s="182"/>
      <c r="G3" s="183"/>
      <c r="H3" s="95">
        <f>570*10^6</f>
        <v>570000000</v>
      </c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95">
        <f>374*10^6</f>
        <v>374000000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198*10^6</f>
        <v>198000000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(108)*10^6</f>
        <v>108000000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43*10^6</f>
        <v>43000000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287*10^3</f>
        <v>287000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7000</v>
      </c>
      <c r="C10" s="98" t="s">
        <v>36</v>
      </c>
      <c r="E10" s="96" t="s">
        <v>139</v>
      </c>
      <c r="F10" s="99">
        <f>F7+F8</f>
        <v>151000000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642</v>
      </c>
      <c r="C12" s="103" t="s">
        <v>36</v>
      </c>
      <c r="D12" s="140">
        <v>0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2.5205716386896695</v>
      </c>
      <c r="C15" s="110">
        <f>$F$6/($F$11*B8*B12^2)</f>
        <v>1.3344202793062956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6.8185344070518872E-3</v>
      </c>
      <c r="C16" s="114">
        <f>0.85*$B$5/$B$6*(1-SQRT(1-(2*C15/(0.85*$B$5))))</f>
        <v>3.5161324828667444E-3</v>
      </c>
      <c r="E16" s="96" t="s">
        <v>151</v>
      </c>
      <c r="F16" s="110">
        <f>B22*$B$6/(0.85*$B$5*$B$8)</f>
        <v>72.071831464707017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84.790389958478841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6.8185344070518872E-3</v>
      </c>
      <c r="C18" s="114">
        <f>MAX(C16:C17)</f>
        <v>3.5897435897435893E-3</v>
      </c>
      <c r="E18" s="96" t="s">
        <v>155</v>
      </c>
      <c r="F18" s="115">
        <f>0.003*($B$12-F17)/F17</f>
        <v>1.9714838331833906E-2</v>
      </c>
      <c r="G18" s="116">
        <f>0.003*($B$12-G17)/G17</f>
        <v>4.2429676663667808E-2</v>
      </c>
    </row>
    <row r="19" spans="1:18" ht="18" customHeight="1" x14ac:dyDescent="0.45">
      <c r="A19" s="94" t="s">
        <v>156</v>
      </c>
      <c r="B19" s="110">
        <f>$K$10*B18</f>
        <v>1750.9996357309246</v>
      </c>
      <c r="C19" s="117">
        <f>$K$10*C18</f>
        <v>921.8461538461537</v>
      </c>
      <c r="E19" s="96" t="s">
        <v>157</v>
      </c>
      <c r="F19" s="118">
        <f>B22*$B$6*($B$12-F16/2)</f>
        <v>445464001.82103413</v>
      </c>
      <c r="G19" s="119">
        <f>C22*$B$6*($B$12-G16/2)</f>
        <v>229354795.74613041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400917601.63893074</v>
      </c>
      <c r="G20" s="119">
        <f>$F$11*G19</f>
        <v>206419316.17151737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6</v>
      </c>
      <c r="C21" s="95">
        <v>3</v>
      </c>
      <c r="E21" s="96" t="s">
        <v>76</v>
      </c>
      <c r="F21" s="120">
        <f>F20/F5</f>
        <v>1.0719721968955367</v>
      </c>
      <c r="G21" s="121">
        <f>G20/F6</f>
        <v>1.0425217988460473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1884.9555921538758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287000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  <c r="H25" s="95">
        <v>20</v>
      </c>
    </row>
    <row r="26" spans="1:18" ht="18" customHeight="1" x14ac:dyDescent="0.45">
      <c r="A26" s="94" t="s">
        <v>172</v>
      </c>
      <c r="B26" s="110">
        <f>IF(F24&gt;B24,F24-B24, "N/A")</f>
        <v>107664.68022165852</v>
      </c>
      <c r="C26" s="85" t="s">
        <v>136</v>
      </c>
      <c r="D26" s="190"/>
      <c r="E26" s="190"/>
      <c r="G26" s="112"/>
      <c r="H26" s="95">
        <v>6</v>
      </c>
    </row>
    <row r="27" spans="1:18" ht="18" customHeight="1" x14ac:dyDescent="0.45">
      <c r="A27" s="94" t="s">
        <v>222</v>
      </c>
      <c r="B27" s="99">
        <v>8</v>
      </c>
      <c r="C27" s="85" t="s">
        <v>36</v>
      </c>
      <c r="G27" s="97"/>
      <c r="H27" s="123">
        <f>H25^2*PI()/4*H26</f>
        <v>1884.9555921538758</v>
      </c>
    </row>
    <row r="28" spans="1:18" ht="18" customHeight="1" x14ac:dyDescent="0.45">
      <c r="A28" s="94" t="s">
        <v>174</v>
      </c>
      <c r="B28" s="111">
        <f>3*B27^2*PI()/4</f>
        <v>150.79644737231007</v>
      </c>
      <c r="C28" s="85" t="s">
        <v>175</v>
      </c>
      <c r="E28" s="96" t="s">
        <v>176</v>
      </c>
      <c r="F28" s="111">
        <f>MIN((B28*B7/(B8*0.062*SQRT(B5))),(B28*B7/(0.345*B8)),B12/2,600)</f>
        <v>240.40013349208849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148.36683336877084</v>
      </c>
      <c r="C29" s="104" t="s">
        <v>36</v>
      </c>
      <c r="D29" s="104"/>
      <c r="E29" s="105" t="s">
        <v>178</v>
      </c>
      <c r="F29" s="128">
        <f>MIN(B29,F28)</f>
        <v>148.36683336877084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136.09462350734012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2210144915.1727953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0.79239978039725079</v>
      </c>
      <c r="D38" s="118">
        <f>$B$34/F10</f>
        <v>0.56674951180730526</v>
      </c>
      <c r="E38" s="118">
        <f>B34/F8</f>
        <v>1.9902134019279789</v>
      </c>
      <c r="F38" s="118">
        <f>B34/(F7+0.5*F8)</f>
        <v>0.66084306009963778</v>
      </c>
      <c r="G38" s="119">
        <f>MAX($B$34,($F$7+0.5*$F$8))</f>
        <v>129500000</v>
      </c>
    </row>
    <row r="39" spans="1:7" ht="18" customHeight="1" x14ac:dyDescent="0.45">
      <c r="A39" s="189" t="s">
        <v>193</v>
      </c>
      <c r="B39" s="190"/>
      <c r="C39" s="118">
        <f>C38^3*$B$32+(1-C38^3)*$B$36</f>
        <v>5499004402.1010609</v>
      </c>
      <c r="D39" s="118">
        <f>D38^3*$B$32+(1-D38^3)*$B$36</f>
        <v>3413477684.6479874</v>
      </c>
      <c r="E39" s="118">
        <f>$B$32*($B$34/E38)^3+(1-($B$34/E38)^3)*$B$36</f>
        <v>5.2555436359655637E+32</v>
      </c>
      <c r="F39" s="118">
        <f>$B$32*($B$34/F38)^3+(1-($B$34/F38)^3)*$B$36</f>
        <v>1.4355607802591179E+34</v>
      </c>
      <c r="G39" s="119">
        <f>$B$32*($B$34/G38)^3+(1-($B$34/G38)^3)*$B$36</f>
        <v>4117832618.4892921</v>
      </c>
    </row>
    <row r="40" spans="1:7" ht="18" customHeight="1" x14ac:dyDescent="0.45">
      <c r="A40" s="189" t="s">
        <v>194</v>
      </c>
      <c r="B40" s="190"/>
      <c r="C40" s="110">
        <f>(5/48)*$F$7*$B$10^2/($F$31*$C$39)</f>
        <v>3.8940905841033726</v>
      </c>
      <c r="D40" s="110">
        <f>(5/48)*$F$10*$B$10^2/($F$31*$C$39)</f>
        <v>5.4445155388852715</v>
      </c>
      <c r="E40" s="110">
        <f>D40-C40</f>
        <v>1.5504249547818989</v>
      </c>
      <c r="F40" s="110">
        <f>(5/48)*(F7+0.5*F8)*$B$10^2/($F$31*$C$39)</f>
        <v>4.6693030614943218</v>
      </c>
      <c r="G40" s="112">
        <f>F40-C40</f>
        <v>0.77521247739094923</v>
      </c>
    </row>
    <row r="41" spans="1:7" ht="18" customHeight="1" x14ac:dyDescent="0.45">
      <c r="A41" s="94" t="s">
        <v>195</v>
      </c>
      <c r="B41" s="110">
        <f>E40+(C40*F34)+(G40*F35)</f>
        <v>10.733988582292353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29.166666666666668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sheetPr codeName="Sheet60"/>
  <dimension ref="A1:R51"/>
  <sheetViews>
    <sheetView view="pageLayout" topLeftCell="A52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238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257*10^6</f>
        <v>257000000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137*10^6</f>
        <v>137000000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75*10^6</f>
        <v>75000000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30*10^6</f>
        <v>30000000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205*10^3</f>
        <v>205000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5765</v>
      </c>
      <c r="C10" s="98" t="s">
        <v>36</v>
      </c>
      <c r="E10" s="96" t="s">
        <v>139</v>
      </c>
      <c r="F10" s="99">
        <f>F7+F8</f>
        <v>105000000</v>
      </c>
      <c r="G10" s="97" t="s">
        <v>123</v>
      </c>
      <c r="J10" s="85" t="s">
        <v>140</v>
      </c>
      <c r="K10" s="85">
        <f>B8*B12</f>
        <v>246800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1.8752548376467113</v>
      </c>
      <c r="C15" s="110">
        <f>$F$6/($F$11*B8*B12^2)</f>
        <v>0.99964946598287729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4.9994826479771567E-3</v>
      </c>
      <c r="C16" s="114">
        <f>0.85*$B$5/$B$6*(1-SQRT(1-(2*C15/(0.85*$B$5))))</f>
        <v>2.6155167362044273E-3</v>
      </c>
      <c r="E16" s="96" t="s">
        <v>151</v>
      </c>
      <c r="F16" s="110">
        <f>B22*$B$6/(0.85*$B$5*$B$8)</f>
        <v>60.059859553922522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70.658658298732377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4.9994826479771567E-3</v>
      </c>
      <c r="C18" s="114">
        <f>MAX(C16:C17)</f>
        <v>3.5897435897435893E-3</v>
      </c>
      <c r="E18" s="96" t="s">
        <v>155</v>
      </c>
      <c r="F18" s="115">
        <f>0.003*($B$12-F17)/F17</f>
        <v>2.3196364954657048E-2</v>
      </c>
      <c r="G18" s="116">
        <f>0.003*($B$12-G17)/G17</f>
        <v>4.0660608257761743E-2</v>
      </c>
    </row>
    <row r="19" spans="1:18" ht="18" customHeight="1" x14ac:dyDescent="0.45">
      <c r="A19" s="94" t="s">
        <v>156</v>
      </c>
      <c r="B19" s="110">
        <f>$K$10*B18</f>
        <v>1233.8723175207622</v>
      </c>
      <c r="C19" s="117">
        <f>$K$10*C18</f>
        <v>885.94871794871779</v>
      </c>
      <c r="E19" s="96" t="s">
        <v>157</v>
      </c>
      <c r="F19" s="118">
        <f>B22*$B$6*($B$12-F16/2)</f>
        <v>359584067.79550785</v>
      </c>
      <c r="G19" s="119">
        <f>C22*$B$6*($B$12-G16/2)</f>
        <v>220165637.23438025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323625661.01595706</v>
      </c>
      <c r="G20" s="119">
        <f>$F$11*G19</f>
        <v>198149073.51094222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5</v>
      </c>
      <c r="C21" s="95">
        <v>3</v>
      </c>
      <c r="E21" s="96" t="s">
        <v>76</v>
      </c>
      <c r="F21" s="120">
        <f>F20/F5</f>
        <v>1.2592438171827123</v>
      </c>
      <c r="G21" s="121">
        <f>G20/F6</f>
        <v>1.4463436022696512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1570.7963267948967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172351.85717015062</v>
      </c>
      <c r="C24" s="85" t="s">
        <v>136</v>
      </c>
      <c r="E24" s="96" t="s">
        <v>169</v>
      </c>
      <c r="F24" s="99">
        <f>F9</f>
        <v>205000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86175.928585075308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32648.142829849385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313.48046155328274</v>
      </c>
      <c r="C29" s="104" t="s">
        <v>36</v>
      </c>
      <c r="D29" s="104"/>
      <c r="E29" s="105" t="s">
        <v>178</v>
      </c>
      <c r="F29" s="128">
        <f>MIN(B29,F28)</f>
        <v>160.26675566139235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7829503766.666666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75965868.936757103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133.10163718278341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2028957740.7359614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1.0128782524900948</v>
      </c>
      <c r="D38" s="118">
        <f>$B$34/F10</f>
        <v>0.72348446606435335</v>
      </c>
      <c r="E38" s="118">
        <f>B34/F8</f>
        <v>2.5321956312252367</v>
      </c>
      <c r="F38" s="118">
        <f>B34/(F7+0.5*F8)</f>
        <v>0.8440652104084122</v>
      </c>
      <c r="G38" s="119">
        <f>MAX($B$34,($F$7+0.5*$F$8))</f>
        <v>90000000</v>
      </c>
    </row>
    <row r="39" spans="1:7" ht="18" customHeight="1" x14ac:dyDescent="0.45">
      <c r="A39" s="189" t="s">
        <v>193</v>
      </c>
      <c r="B39" s="190"/>
      <c r="C39" s="118">
        <f>C38^3*$B$32+(1-C38^3)*$B$36</f>
        <v>8056504895.6830492</v>
      </c>
      <c r="D39" s="118">
        <f>D38^3*$B$32+(1-D38^3)*$B$36</f>
        <v>4225585712.6554537</v>
      </c>
      <c r="E39" s="118">
        <f>$B$32*($B$34/E38)^3+(1-($B$34/E38)^3)*$B$36</f>
        <v>1.5661474270012904E+32</v>
      </c>
      <c r="F39" s="118">
        <f>$B$32*($B$34/F38)^3+(1-($B$34/F38)^3)*$B$36</f>
        <v>4.2285980529034839E+33</v>
      </c>
      <c r="G39" s="119">
        <f>$B$32*($B$34/G38)^3+(1-($B$34/G38)^3)*$B$36</f>
        <v>5517121603.5525618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1.2519399349624536</v>
      </c>
      <c r="D40" s="110">
        <f>(5/48)*$F$10*$B$10^2/($F$31*$C$39)</f>
        <v>1.7527159089474351</v>
      </c>
      <c r="E40" s="110">
        <f>D40-C40</f>
        <v>0.50077597398498153</v>
      </c>
      <c r="F40" s="110">
        <f>(5/48)*(F7+0.5*F8)*$B$10^2/($F$31*$C$39)</f>
        <v>1.5023279219549444</v>
      </c>
      <c r="G40" s="112">
        <f>F40-C40</f>
        <v>0.25038798699249076</v>
      </c>
    </row>
    <row r="41" spans="1:7" ht="18" customHeight="1" x14ac:dyDescent="0.45">
      <c r="A41" s="94" t="s">
        <v>195</v>
      </c>
      <c r="B41" s="110">
        <f>E40+(C40*F34)+(G40*F35)</f>
        <v>3.4553542204963721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24.020833333333332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sheetPr codeName="Sheet62"/>
  <dimension ref="A1:R51"/>
  <sheetViews>
    <sheetView view="pageLayout" topLeftCell="A16" zoomScaleNormal="100" workbookViewId="0">
      <selection activeCell="D12" sqref="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253*10^6</f>
        <v>253000000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171*10^6</f>
        <v>171000000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107*10^6</f>
        <v>107000000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33*10^6</f>
        <v>33000000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259*10^3</f>
        <v>259000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6900</v>
      </c>
      <c r="C10" s="98" t="s">
        <v>36</v>
      </c>
      <c r="E10" s="96" t="s">
        <v>139</v>
      </c>
      <c r="F10" s="99">
        <f>F7+F8</f>
        <v>140000000</v>
      </c>
      <c r="G10" s="97" t="s">
        <v>123</v>
      </c>
      <c r="J10" s="85" t="s">
        <v>140</v>
      </c>
      <c r="K10" s="85">
        <f>B8*B12</f>
        <v>256800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1.7050925791135998</v>
      </c>
      <c r="C15" s="110">
        <f>$F$6/($F$11*B8*B12^2)</f>
        <v>1.1524538775827098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4.5288791371402076E-3</v>
      </c>
      <c r="C16" s="114">
        <f>0.85*$B$5/$B$6*(1-SQRT(1-(2*C15/(0.85*$B$5))))</f>
        <v>3.0249845975802241E-3</v>
      </c>
      <c r="E16" s="96" t="s">
        <v>151</v>
      </c>
      <c r="F16" s="110">
        <f>B22*$B$6/(0.85*$B$5*$B$8)</f>
        <v>48.047887643138019</v>
      </c>
      <c r="G16" s="112">
        <f>C22*$B$6/(0.85*$B$5*$B$8)</f>
        <v>36.035915732353509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42.39519497923942</v>
      </c>
    </row>
    <row r="18" spans="1:18" ht="18" customHeight="1" x14ac:dyDescent="0.45">
      <c r="A18" s="94" t="s">
        <v>154</v>
      </c>
      <c r="B18" s="113">
        <f>MAX(B16:B17)</f>
        <v>4.5288791371402076E-3</v>
      </c>
      <c r="C18" s="114">
        <f>MAX(C16:C17)</f>
        <v>3.5897435897435893E-3</v>
      </c>
      <c r="E18" s="96" t="s">
        <v>155</v>
      </c>
      <c r="F18" s="115">
        <f>0.003*($B$12-F17)/F17</f>
        <v>3.1072257497750857E-2</v>
      </c>
      <c r="G18" s="116">
        <f>0.003*($B$12-G17)/G17</f>
        <v>4.2429676663667808E-2</v>
      </c>
    </row>
    <row r="19" spans="1:18" ht="18" customHeight="1" x14ac:dyDescent="0.45">
      <c r="A19" s="94" t="s">
        <v>156</v>
      </c>
      <c r="B19" s="110">
        <f>$K$10*B18</f>
        <v>1163.0161624176053</v>
      </c>
      <c r="C19" s="117">
        <f>$K$10*C18</f>
        <v>921.8461538461537</v>
      </c>
      <c r="E19" s="96" t="s">
        <v>157</v>
      </c>
      <c r="F19" s="118">
        <f>B22*$B$6*($B$12-F16/2)</f>
        <v>302862929.95679015</v>
      </c>
      <c r="G19" s="119">
        <f>C22*$B$6*($B$12-G16/2)</f>
        <v>229354795.74613041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272576636.96111113</v>
      </c>
      <c r="G20" s="119">
        <f>$F$11*G19</f>
        <v>206419316.17151737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4</v>
      </c>
      <c r="C21" s="95">
        <v>3</v>
      </c>
      <c r="E21" s="96" t="s">
        <v>76</v>
      </c>
      <c r="F21" s="120">
        <f>F20/F5</f>
        <v>1.0773780117039966</v>
      </c>
      <c r="G21" s="121">
        <f>G20/F6</f>
        <v>1.2071305039270022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1256.6370614359173</v>
      </c>
      <c r="C22" s="123">
        <f>C20^2*PI()/4*C21</f>
        <v>942.47779607693792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179335.31977834148</v>
      </c>
      <c r="C24" s="85" t="s">
        <v>136</v>
      </c>
      <c r="E24" s="96" t="s">
        <v>169</v>
      </c>
      <c r="F24" s="99">
        <f>F9</f>
        <v>259000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89667.65988917074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79664.68022165852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133.67586593961266</v>
      </c>
      <c r="C29" s="104" t="s">
        <v>36</v>
      </c>
      <c r="D29" s="104"/>
      <c r="E29" s="105" t="s">
        <v>178</v>
      </c>
      <c r="F29" s="128">
        <f>MIN(B29,F28)</f>
        <v>133.67586593961266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8820309599.9999981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85579176.28290309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136.09462350734012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2210144915.1727953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0.79980538582152416</v>
      </c>
      <c r="D38" s="118">
        <f>$B$34/F10</f>
        <v>0.61127983059216495</v>
      </c>
      <c r="E38" s="118">
        <f>B34/F8</f>
        <v>2.5933083722091848</v>
      </c>
      <c r="F38" s="118">
        <f>B34/(F7+0.5*F8)</f>
        <v>0.69294879581298052</v>
      </c>
      <c r="G38" s="119">
        <f>MAX($B$34,($F$7+0.5*$F$8))</f>
        <v>123500000</v>
      </c>
    </row>
    <row r="39" spans="1:7" ht="18" customHeight="1" x14ac:dyDescent="0.45">
      <c r="A39" s="189" t="s">
        <v>193</v>
      </c>
      <c r="B39" s="190"/>
      <c r="C39" s="118">
        <f>C38^3*$B$32+(1-C38^3)*$B$36</f>
        <v>5592079885.6165915</v>
      </c>
      <c r="D39" s="118">
        <f>D38^3*$B$32+(1-D38^3)*$B$36</f>
        <v>3719990309.4867096</v>
      </c>
      <c r="E39" s="118">
        <f>$B$32*($B$34/E38)^3+(1-($B$34/E38)^3)*$B$36</f>
        <v>2.3754948827863511E+32</v>
      </c>
      <c r="F39" s="118">
        <f>$B$32*($B$34/F38)^3+(1-($B$34/F38)^3)*$B$36</f>
        <v>1.2451255712798231E+34</v>
      </c>
      <c r="G39" s="119">
        <f>$B$32*($B$34/G38)^3+(1-($B$34/G38)^3)*$B$36</f>
        <v>4409603115.2391853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3.6861998230099946</v>
      </c>
      <c r="D40" s="110">
        <f>(5/48)*$F$10*$B$10^2/($F$31*$C$39)</f>
        <v>4.8230651889850398</v>
      </c>
      <c r="E40" s="110">
        <f>D40-C40</f>
        <v>1.1368653659750452</v>
      </c>
      <c r="F40" s="110">
        <f>(5/48)*(F7+0.5*F8)*$B$10^2/($F$31*$C$39)</f>
        <v>4.2546325059975176</v>
      </c>
      <c r="G40" s="112">
        <f>F40-C40</f>
        <v>0.56843268298752303</v>
      </c>
    </row>
    <row r="41" spans="1:7" ht="18" customHeight="1" x14ac:dyDescent="0.45">
      <c r="A41" s="94" t="s">
        <v>195</v>
      </c>
      <c r="B41" s="110">
        <f>E40+(C40*F34)+(G40*F35)</f>
        <v>9.5324438413725758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28.75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sheetPr codeName="Sheet61"/>
  <dimension ref="A1:R51"/>
  <sheetViews>
    <sheetView view="pageLayout" topLeftCell="A19" zoomScaleNormal="100" workbookViewId="0">
      <selection activeCell="G42" sqref="A4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219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235*10^6</f>
        <v>235000000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466*10^6</f>
        <v>466000000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113*10^6</f>
        <v>113000000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400</v>
      </c>
      <c r="C8" s="98" t="s">
        <v>36</v>
      </c>
      <c r="E8" s="96" t="s">
        <v>132</v>
      </c>
      <c r="F8" s="95">
        <f>208*10^6</f>
        <v>208000000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313*10^3</f>
        <v>313000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6900</v>
      </c>
      <c r="C10" s="98" t="s">
        <v>36</v>
      </c>
      <c r="E10" s="96" t="s">
        <v>139</v>
      </c>
      <c r="F10" s="99">
        <f>F7+F8</f>
        <v>321000000</v>
      </c>
      <c r="G10" s="97" t="s">
        <v>123</v>
      </c>
      <c r="J10" s="85" t="s">
        <v>140</v>
      </c>
      <c r="K10" s="85">
        <f>B8*B12</f>
        <v>246800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1.7147271861750084</v>
      </c>
      <c r="C15" s="110">
        <f>$F$6/($F$11*B8*B12^2)</f>
        <v>3.4002675266278892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4.5554275274248077E-3</v>
      </c>
      <c r="C16" s="114">
        <f>0.85*$B$5/$B$6*(1-SQRT(1-(2*C15/(0.85*$B$5))))</f>
        <v>9.3933769802563953E-3</v>
      </c>
      <c r="E16" s="96" t="s">
        <v>151</v>
      </c>
      <c r="F16" s="110">
        <f>B22*$B$6/(0.85*$B$5*$B$8)</f>
        <v>48.047887643138019</v>
      </c>
      <c r="G16" s="112">
        <f>C22*$B$6/(0.85*$B$5*$B$8)</f>
        <v>96.095775286276037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56.526926638985906</v>
      </c>
      <c r="G17" s="112">
        <f>G16/G15</f>
        <v>113.05385327797181</v>
      </c>
    </row>
    <row r="18" spans="1:18" ht="18" customHeight="1" x14ac:dyDescent="0.45">
      <c r="A18" s="94" t="s">
        <v>154</v>
      </c>
      <c r="B18" s="113">
        <f>MAX(B16:B17)</f>
        <v>4.5554275274248077E-3</v>
      </c>
      <c r="C18" s="114">
        <f>MAX(C16:C17)</f>
        <v>9.3933769802563953E-3</v>
      </c>
      <c r="E18" s="96" t="s">
        <v>155</v>
      </c>
      <c r="F18" s="115">
        <f>0.003*($B$12-F17)/F17</f>
        <v>2.9745456193321307E-2</v>
      </c>
      <c r="G18" s="116">
        <f>0.003*($B$12-G17)/G17</f>
        <v>1.337272809666065E-2</v>
      </c>
    </row>
    <row r="19" spans="1:18" ht="18" customHeight="1" x14ac:dyDescent="0.45">
      <c r="A19" s="94" t="s">
        <v>156</v>
      </c>
      <c r="B19" s="110">
        <f>$K$10*B18</f>
        <v>1124.2795137684425</v>
      </c>
      <c r="C19" s="117">
        <f>$K$10*C18</f>
        <v>2318.2854387272782</v>
      </c>
      <c r="E19" s="96" t="s">
        <v>157</v>
      </c>
      <c r="F19" s="118">
        <f>B22*$B$6*($B$12-F16/2)</f>
        <v>290610718.60778993</v>
      </c>
      <c r="G19" s="119">
        <f>C22*$B$6*($B$12-G16/2)</f>
        <v>557673722.24451029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261549646.74701095</v>
      </c>
      <c r="G20" s="119">
        <f>$F$11*G19</f>
        <v>501906350.02005929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4</v>
      </c>
      <c r="C21" s="95">
        <v>8</v>
      </c>
      <c r="E21" s="96" t="s">
        <v>76</v>
      </c>
      <c r="F21" s="120">
        <f>F20/F5</f>
        <v>1.1129772202000465</v>
      </c>
      <c r="G21" s="121">
        <f>G20/F6</f>
        <v>1.0770522532619298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1256.6370614359173</v>
      </c>
      <c r="C22" s="123">
        <f>C20^2*PI()/4*C21</f>
        <v>2513.2741228718346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172351.85717015062</v>
      </c>
      <c r="C24" s="85" t="s">
        <v>136</v>
      </c>
      <c r="E24" s="96" t="s">
        <v>169</v>
      </c>
      <c r="F24" s="99">
        <f>F9</f>
        <v>313000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86175.928585075308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140648.14282984938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4*B27^2*PI()/4</f>
        <v>201.06192982974676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145.53416315692198</v>
      </c>
      <c r="C29" s="104" t="s">
        <v>36</v>
      </c>
      <c r="D29" s="104"/>
      <c r="E29" s="105" t="s">
        <v>178</v>
      </c>
      <c r="F29" s="128">
        <f>MIN(B29,F28)</f>
        <v>145.53416315692198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7829503766.666666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75965868.936757103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201.42575473498579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4461805222.8550892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0.67226432687395665</v>
      </c>
      <c r="D38" s="118">
        <f>$B$34/F10</f>
        <v>0.2366537973107698</v>
      </c>
      <c r="E38" s="118">
        <f>B34/F8</f>
        <v>0.36522052373440916</v>
      </c>
      <c r="F38" s="118">
        <f>B34/(F7+0.5*F8)</f>
        <v>0.35007312874081614</v>
      </c>
      <c r="G38" s="119">
        <f>MAX($B$34,($F$7+0.5*$F$8))</f>
        <v>217000000</v>
      </c>
    </row>
    <row r="39" spans="1:7" ht="18" customHeight="1" x14ac:dyDescent="0.45">
      <c r="A39" s="189" t="s">
        <v>193</v>
      </c>
      <c r="B39" s="190"/>
      <c r="C39" s="118">
        <f>C38^3*$B$32+(1-C38^3)*$B$36</f>
        <v>5484988440.8653049</v>
      </c>
      <c r="D39" s="118">
        <f>D38^3*$B$32+(1-D38^3)*$B$36</f>
        <v>4506440027.8349438</v>
      </c>
      <c r="E39" s="118">
        <f>$B$32*($B$34/E38)^3+(1-($B$34/E38)^3)*$B$36</f>
        <v>3.0305622838288527E+34</v>
      </c>
      <c r="F39" s="118">
        <f>$B$32*($B$34/F38)^3+(1-($B$34/F38)^3)*$B$36</f>
        <v>3.4412197810310913E+34</v>
      </c>
      <c r="G39" s="119">
        <f>$B$32*($B$34/G38)^3+(1-($B$34/G38)^3)*$B$36</f>
        <v>4606285823.0987196</v>
      </c>
    </row>
    <row r="40" spans="1:7" ht="18" customHeight="1" x14ac:dyDescent="0.45">
      <c r="A40" s="189" t="s">
        <v>194</v>
      </c>
      <c r="B40" s="190"/>
      <c r="C40" s="110">
        <f>(5/48)*$F$7*$B$10^2/($F$31*$C$39)</f>
        <v>3.9689094434571586</v>
      </c>
      <c r="D40" s="110">
        <f>(5/48)*$F$10*$B$10^2/($F$31*$C$39)</f>
        <v>11.274512666811928</v>
      </c>
      <c r="E40" s="110">
        <f>D40-C40</f>
        <v>7.305603223354769</v>
      </c>
      <c r="F40" s="110">
        <f>(5/48)*(F7+0.5*F8)*$B$10^2/($F$31*$C$39)</f>
        <v>7.6217110551345435</v>
      </c>
      <c r="G40" s="112">
        <f>F40-C40</f>
        <v>3.6528016116773849</v>
      </c>
    </row>
    <row r="41" spans="1:7" ht="18" customHeight="1" x14ac:dyDescent="0.45">
      <c r="A41" s="94" t="s">
        <v>195</v>
      </c>
      <c r="B41" s="110">
        <f>E40+(C40*F34)+(G40*F35)</f>
        <v>21.818465011288382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28.75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sheetPr codeName="Sheet55"/>
  <dimension ref="A1:R51"/>
  <sheetViews>
    <sheetView topLeftCell="A16" zoomScaleNormal="100" workbookViewId="0">
      <selection activeCell="G42" sqref="A3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333*10^6</f>
        <v>333000000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74*10^6</f>
        <v>74000000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53*10^6</f>
        <v>53000000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18*10^6</f>
        <v>18000000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209*10^3</f>
        <v>209000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9980</v>
      </c>
      <c r="C10" s="98" t="s">
        <v>36</v>
      </c>
      <c r="E10" s="96" t="s">
        <v>139</v>
      </c>
      <c r="F10" s="99">
        <f>F7+F8</f>
        <v>71000000</v>
      </c>
      <c r="G10" s="97" t="s">
        <v>123</v>
      </c>
      <c r="J10" s="85" t="s">
        <v>140</v>
      </c>
      <c r="K10" s="85">
        <f>B8*B12</f>
        <v>385200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B9-B11-$B$27-(B20/2)</f>
        <v>642</v>
      </c>
      <c r="C12" s="103" t="s">
        <v>36</v>
      </c>
      <c r="D12" s="104"/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1.4961681919494829</v>
      </c>
      <c r="C15" s="110">
        <f>$F$6/($F$11*B8*B12^2)</f>
        <v>0.33248182043321844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3.956004979777117E-3</v>
      </c>
      <c r="C16" s="114">
        <f>0.85*$B$5/$B$6*(1-SQRT(1-(2*C15/(0.85*$B$5))))</f>
        <v>8.5814893221274719E-4</v>
      </c>
      <c r="E16" s="96" t="s">
        <v>151</v>
      </c>
      <c r="F16" s="110">
        <f>B22*$B$6/(0.85*$B$5*$B$8)</f>
        <v>40.039906369281681</v>
      </c>
      <c r="G16" s="112">
        <f>C22*$B$6/(0.85*$B$5*$B$8)</f>
        <v>40.039906369281681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47.10577219915492</v>
      </c>
      <c r="G17" s="112">
        <f>G16/G15</f>
        <v>47.10577219915492</v>
      </c>
    </row>
    <row r="18" spans="1:18" ht="18" customHeight="1" x14ac:dyDescent="0.45">
      <c r="A18" s="94" t="s">
        <v>154</v>
      </c>
      <c r="B18" s="113">
        <f>MAX(B16:B17)</f>
        <v>3.956004979777117E-3</v>
      </c>
      <c r="C18" s="114">
        <f>MAX(C16:C17)</f>
        <v>3.5897435897435893E-3</v>
      </c>
      <c r="E18" s="96" t="s">
        <v>155</v>
      </c>
      <c r="F18" s="115">
        <f>0.003*($B$12-F17)/F17</f>
        <v>3.7886708997301025E-2</v>
      </c>
      <c r="G18" s="116">
        <f>0.003*($B$12-G17)/G17</f>
        <v>3.7886708997301025E-2</v>
      </c>
    </row>
    <row r="19" spans="1:18" ht="18" customHeight="1" x14ac:dyDescent="0.45">
      <c r="A19" s="94" t="s">
        <v>156</v>
      </c>
      <c r="B19" s="110">
        <f>$K$10*B18</f>
        <v>1523.8531182101456</v>
      </c>
      <c r="C19" s="117">
        <f>$K$10*C18</f>
        <v>1382.7692307692305</v>
      </c>
      <c r="E19" s="96" t="s">
        <v>157</v>
      </c>
      <c r="F19" s="118">
        <f>B22*$B$6*($B$12-F16/2)</f>
        <v>381031549.42214084</v>
      </c>
      <c r="G19" s="119">
        <f>C22*$B$6*($B$12-G16/2)</f>
        <v>381031549.42214084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342928394.47992676</v>
      </c>
      <c r="G20" s="119">
        <f>$F$11*G19</f>
        <v>342928394.47992676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5</v>
      </c>
      <c r="C21" s="95">
        <v>5</v>
      </c>
      <c r="E21" s="96" t="s">
        <v>76</v>
      </c>
      <c r="F21" s="120">
        <f>F20/F5</f>
        <v>1.0298149984382186</v>
      </c>
      <c r="G21" s="121">
        <f>G20/F6</f>
        <v>4.6341674929719829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1570.7963267948967</v>
      </c>
      <c r="C22" s="123">
        <f>C20^2*PI()/4*C21</f>
        <v>1570.7963267948967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269002.97966751223</v>
      </c>
      <c r="C24" s="85" t="s">
        <v>136</v>
      </c>
      <c r="E24" s="96" t="s">
        <v>169</v>
      </c>
      <c r="F24" s="99">
        <f>F9</f>
        <v>209000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134501.48983375612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 t="str">
        <f>IF(F24&gt;B24,F24-B24, "N/A")</f>
        <v>N/A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106.84450377426158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 t="str">
        <f>IF(F24&gt;B24,F12*$B$7*B28*B12/B26,"N/A")</f>
        <v>N/A</v>
      </c>
      <c r="C29" s="104" t="s">
        <v>36</v>
      </c>
      <c r="D29" s="104"/>
      <c r="E29" s="105" t="s">
        <v>178</v>
      </c>
      <c r="F29" s="128">
        <f>MIN(B29,F28)</f>
        <v>106.84450377426158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13230464400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128368764.42435466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142.53961750120911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3623553222.0840011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2.4220521589500881</v>
      </c>
      <c r="D38" s="118">
        <f>$B$34/F10</f>
        <v>1.8080107665402065</v>
      </c>
      <c r="E38" s="118">
        <f>B34/F8</f>
        <v>7.1315980235752585</v>
      </c>
      <c r="F38" s="118">
        <f>B34/(F7+0.5*F8)</f>
        <v>2.0704639423283009</v>
      </c>
      <c r="G38" s="119">
        <f>MAX($B$34,($F$7+0.5*$F$8))</f>
        <v>128368764.42435466</v>
      </c>
    </row>
    <row r="39" spans="1:7" ht="18" customHeight="1" x14ac:dyDescent="0.45">
      <c r="A39" s="189" t="s">
        <v>193</v>
      </c>
      <c r="B39" s="190"/>
      <c r="C39" s="118">
        <f>C38^3*$B$32+(1-C38^3)*$B$36</f>
        <v>140124055592.11295</v>
      </c>
      <c r="D39" s="118">
        <f>D38^3*$B$32+(1-D38^3)*$B$36</f>
        <v>60402432025.313843</v>
      </c>
      <c r="E39" s="118">
        <f>$B$32*($B$34/E38)^3+(1-($B$34/E38)^3)*$B$36</f>
        <v>5.6027505989606101E+31</v>
      </c>
      <c r="F39" s="118">
        <f>$B$32*($B$34/F38)^3+(1-($B$34/F38)^3)*$B$36</f>
        <v>2.2895959272103639E+33</v>
      </c>
      <c r="G39" s="119">
        <f>$B$32*($B$34/G38)^3+(1-($B$34/G38)^3)*$B$36</f>
        <v>13230464400</v>
      </c>
    </row>
    <row r="40" spans="1:7" ht="18" customHeight="1" x14ac:dyDescent="0.45">
      <c r="A40" s="189" t="s">
        <v>194</v>
      </c>
      <c r="B40" s="190"/>
      <c r="C40" s="110">
        <f>(5/48)*$F$7*$B$10^2/($F$31*$C$39)</f>
        <v>0.15243845389090857</v>
      </c>
      <c r="D40" s="110">
        <f>(5/48)*$F$10*$B$10^2/($F$31*$C$39)</f>
        <v>0.20421000426895297</v>
      </c>
      <c r="E40" s="110">
        <f>D40-C40</f>
        <v>5.1771550378044401E-2</v>
      </c>
      <c r="F40" s="110">
        <f>(5/48)*(F7+0.5*F8)*$B$10^2/($F$31*$C$39)</f>
        <v>0.17832422907993076</v>
      </c>
      <c r="G40" s="112">
        <f>F40-C40</f>
        <v>2.5885775189022187E-2</v>
      </c>
    </row>
    <row r="41" spans="1:7" ht="18" customHeight="1" x14ac:dyDescent="0.45">
      <c r="A41" s="94" t="s">
        <v>195</v>
      </c>
      <c r="B41" s="110">
        <f>E40+(C40*F34)+(G40*F35)</f>
        <v>0.40324285350010153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41.583333333333336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sheetPr codeName="Sheet74"/>
  <dimension ref="A1:R51"/>
  <sheetViews>
    <sheetView view="pageLayout" topLeftCell="A16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649*10^6</f>
        <v>649000000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253*10^6</f>
        <v>253000000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152*10^6</f>
        <v>152000000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44*10^6</f>
        <v>44000000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373*10^3</f>
        <v>373000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7200</v>
      </c>
      <c r="C10" s="98" t="s">
        <v>36</v>
      </c>
      <c r="E10" s="96" t="s">
        <v>139</v>
      </c>
      <c r="F10" s="99">
        <f>F7+F8</f>
        <v>196000000</v>
      </c>
      <c r="G10" s="97" t="s">
        <v>123</v>
      </c>
      <c r="J10" s="85" t="s">
        <v>140</v>
      </c>
      <c r="K10" s="85">
        <f>B8*B12</f>
        <v>370200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3.1570438122768238</v>
      </c>
      <c r="C15" s="110">
        <f>$F$6/($F$11*B8*B12^2)</f>
        <v>1.2307119946163889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8.669775345203001E-3</v>
      </c>
      <c r="C16" s="114">
        <f>0.85*$B$5/$B$6*(1-SQRT(1-(2*C15/(0.85*$B$5))))</f>
        <v>3.2357364114295839E-3</v>
      </c>
      <c r="E16" s="96" t="s">
        <v>151</v>
      </c>
      <c r="F16" s="110">
        <f>B22*$B$6/(0.85*$B$5*$B$8)</f>
        <v>96.095775286276037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113.05385327797181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8.669775345203001E-3</v>
      </c>
      <c r="C18" s="114">
        <f>MAX(C16:C17)</f>
        <v>3.5897435897435893E-3</v>
      </c>
      <c r="E18" s="96" t="s">
        <v>155</v>
      </c>
      <c r="F18" s="115">
        <f>0.003*($B$12-F17)/F17</f>
        <v>1.337272809666065E-2</v>
      </c>
      <c r="G18" s="116">
        <f>0.003*($B$12-G17)/G17</f>
        <v>2.9745456193321307E-2</v>
      </c>
    </row>
    <row r="19" spans="1:18" ht="18" customHeight="1" x14ac:dyDescent="0.45">
      <c r="A19" s="94" t="s">
        <v>156</v>
      </c>
      <c r="B19" s="110">
        <f>$K$10*B18</f>
        <v>3209.5508327941511</v>
      </c>
      <c r="C19" s="117">
        <f>$K$10*C18</f>
        <v>1328.9230769230767</v>
      </c>
      <c r="E19" s="96" t="s">
        <v>157</v>
      </c>
      <c r="F19" s="118">
        <f>B22*$B$6*($B$12-F16/2)</f>
        <v>836510583.36676538</v>
      </c>
      <c r="G19" s="119">
        <f>C22*$B$6*($B$12-G16/2)</f>
        <v>435916077.91168493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752859525.0300889</v>
      </c>
      <c r="G20" s="119">
        <f>$F$11*G19</f>
        <v>392324470.12051642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12</v>
      </c>
      <c r="C21" s="95">
        <v>6</v>
      </c>
      <c r="E21" s="96" t="s">
        <v>76</v>
      </c>
      <c r="F21" s="120">
        <f>F20/F5</f>
        <v>1.1600300847921245</v>
      </c>
      <c r="G21" s="121">
        <f>G20/F6</f>
        <v>1.5506896052194326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3769.9111843077517</v>
      </c>
      <c r="C22" s="123">
        <f>C20^2*PI()/4*C21</f>
        <v>1884.9555921538758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373000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114472.21424477408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6*B27^2*PI()/4</f>
        <v>301.59289474462014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268.21936530224627</v>
      </c>
      <c r="C29" s="104" t="s">
        <v>36</v>
      </c>
      <c r="D29" s="104"/>
      <c r="E29" s="105" t="s">
        <v>178</v>
      </c>
      <c r="F29" s="128">
        <f>MIN(B29,F28)</f>
        <v>268.21936530224627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150.84797273241287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3868714788.9044271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0.74966318029694523</v>
      </c>
      <c r="D38" s="118">
        <f>$B$34/F10</f>
        <v>0.5813714459445698</v>
      </c>
      <c r="E38" s="118">
        <f>B34/F8</f>
        <v>2.5897455319349016</v>
      </c>
      <c r="F38" s="118">
        <f>B34/(F7+0.5*F8)</f>
        <v>0.65487818048928548</v>
      </c>
      <c r="G38" s="119">
        <f>MAX($B$34,($F$7+0.5*$F$8))</f>
        <v>174000000</v>
      </c>
    </row>
    <row r="39" spans="1:7" ht="18" customHeight="1" x14ac:dyDescent="0.45">
      <c r="A39" s="189" t="s">
        <v>193</v>
      </c>
      <c r="B39" s="190"/>
      <c r="C39" s="118">
        <f>C38^3*$B$32+(1-C38^3)*$B$36</f>
        <v>7186734274.1628418</v>
      </c>
      <c r="D39" s="118">
        <f>D38^3*$B$32+(1-D38^3)*$B$36</f>
        <v>5416253358.6763744</v>
      </c>
      <c r="E39" s="118">
        <f>$B$32*($B$34/E38)^3+(1-($B$34/E38)^3)*$B$36</f>
        <v>6.7087007271156523E+32</v>
      </c>
      <c r="F39" s="118">
        <f>$B$32*($B$34/F38)^3+(1-($B$34/F38)^3)*$B$36</f>
        <v>4.1488538269232153E+34</v>
      </c>
      <c r="G39" s="119">
        <f>$B$32*($B$34/G38)^3+(1-($B$34/G38)^3)*$B$36</f>
        <v>6080596772.0704842</v>
      </c>
    </row>
    <row r="40" spans="1:7" ht="18" customHeight="1" x14ac:dyDescent="0.45">
      <c r="A40" s="189" t="s">
        <v>194</v>
      </c>
      <c r="B40" s="190"/>
      <c r="C40" s="110">
        <f>(5/48)*$F$7*$B$10^2/($F$31*$C$39)</f>
        <v>4.4365693558882207</v>
      </c>
      <c r="D40" s="110">
        <f>(5/48)*$F$10*$B$10^2/($F$31*$C$39)</f>
        <v>5.7208394325927063</v>
      </c>
      <c r="E40" s="110">
        <f>D40-C40</f>
        <v>1.2842700767044857</v>
      </c>
      <c r="F40" s="110">
        <f>(5/48)*(F7+0.5*F8)*$B$10^2/($F$31*$C$39)</f>
        <v>5.0787043942404626</v>
      </c>
      <c r="G40" s="112">
        <f>F40-C40</f>
        <v>0.64213503835224195</v>
      </c>
    </row>
    <row r="41" spans="1:7" ht="18" customHeight="1" x14ac:dyDescent="0.45">
      <c r="A41" s="94" t="s">
        <v>195</v>
      </c>
      <c r="B41" s="110">
        <f>E40+(C40*F34)+(G40*F35)</f>
        <v>11.313251857514963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30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sheetPr codeName="Sheet75"/>
  <dimension ref="A1:R51"/>
  <sheetViews>
    <sheetView topLeftCell="A28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674*10^6</f>
        <v>674000000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405*10^6</f>
        <v>405000000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245*10^6</f>
        <v>245000000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68*10^6</f>
        <v>68000000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459*10^3</f>
        <v>459000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8300</v>
      </c>
      <c r="C10" s="98" t="s">
        <v>36</v>
      </c>
      <c r="E10" s="96" t="s">
        <v>139</v>
      </c>
      <c r="F10" s="99">
        <f>F7+F8</f>
        <v>313000000</v>
      </c>
      <c r="G10" s="97" t="s">
        <v>123</v>
      </c>
      <c r="J10" s="85" t="s">
        <v>140</v>
      </c>
      <c r="K10" s="85">
        <f>B8*B12</f>
        <v>370200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3.2786556694523563</v>
      </c>
      <c r="C15" s="110">
        <f>$F$6/($F$11*B8*B12^2)</f>
        <v>1.9701120862436268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9.0304147481504067E-3</v>
      </c>
      <c r="C16" s="114">
        <f>0.85*$B$5/$B$6*(1-SQRT(1-(2*C15/(0.85*$B$5))))</f>
        <v>5.2634204730794519E-3</v>
      </c>
      <c r="E16" s="96" t="s">
        <v>151</v>
      </c>
      <c r="F16" s="110">
        <f>B22*$B$6/(0.85*$B$5*$B$8)</f>
        <v>96.095775286276037</v>
      </c>
      <c r="G16" s="112">
        <f>C22*$B$6/(0.85*$B$5*$B$8)</f>
        <v>64.063850190850687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113.05385327797181</v>
      </c>
      <c r="G17" s="112">
        <f>G16/G15</f>
        <v>75.369235518647869</v>
      </c>
    </row>
    <row r="18" spans="1:18" ht="18" customHeight="1" x14ac:dyDescent="0.45">
      <c r="A18" s="94" t="s">
        <v>154</v>
      </c>
      <c r="B18" s="113">
        <f>MAX(B16:B17)</f>
        <v>9.0304147481504067E-3</v>
      </c>
      <c r="C18" s="114">
        <f>MAX(C16:C17)</f>
        <v>5.2634204730794519E-3</v>
      </c>
      <c r="E18" s="96" t="s">
        <v>155</v>
      </c>
      <c r="F18" s="115">
        <f>0.003*($B$12-F17)/F17</f>
        <v>1.337272809666065E-2</v>
      </c>
      <c r="G18" s="116">
        <f>0.003*($B$12-G17)/G17</f>
        <v>2.1559092144990979E-2</v>
      </c>
    </row>
    <row r="19" spans="1:18" ht="18" customHeight="1" x14ac:dyDescent="0.45">
      <c r="A19" s="94" t="s">
        <v>156</v>
      </c>
      <c r="B19" s="110">
        <f>$K$10*B18</f>
        <v>3343.0595397652805</v>
      </c>
      <c r="C19" s="117">
        <f>$K$10*C18</f>
        <v>1948.5182591340131</v>
      </c>
      <c r="E19" s="96" t="s">
        <v>157</v>
      </c>
      <c r="F19" s="118">
        <f>B22*$B$6*($B$12-F16/2)</f>
        <v>836510583.36676538</v>
      </c>
      <c r="G19" s="119">
        <f>C22*$B$6*($B$12-G16/2)</f>
        <v>573372198.89189005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752859525.0300889</v>
      </c>
      <c r="G20" s="119">
        <f>$F$11*G19</f>
        <v>516034979.00270104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12</v>
      </c>
      <c r="C21" s="95">
        <v>8</v>
      </c>
      <c r="E21" s="96" t="s">
        <v>76</v>
      </c>
      <c r="F21" s="120">
        <f>F20/F5</f>
        <v>1.1170022626559182</v>
      </c>
      <c r="G21" s="121">
        <f>G20/F6</f>
        <v>1.2741604419819779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3769.9111843077517</v>
      </c>
      <c r="C22" s="123">
        <f>C20^2*PI()/4*C21</f>
        <v>2513.2741228718346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459000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200472.21424477408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6*B27^2*PI()/4</f>
        <v>301.59289474462014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153.15670934819556</v>
      </c>
      <c r="C29" s="104" t="s">
        <v>36</v>
      </c>
      <c r="D29" s="104"/>
      <c r="E29" s="105" t="s">
        <v>178</v>
      </c>
      <c r="F29" s="128">
        <f>MIN(B29,F28)</f>
        <v>153.15670934819556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170.47738908924572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4884025592.0950489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0.46509715675565583</v>
      </c>
      <c r="D38" s="118">
        <f>$B$34/F10</f>
        <v>0.36405368500043345</v>
      </c>
      <c r="E38" s="118">
        <f>B34/F8</f>
        <v>1.6757176971343481</v>
      </c>
      <c r="F38" s="118">
        <f>B34/(F7+0.5*F8)</f>
        <v>0.40841865019761892</v>
      </c>
      <c r="G38" s="119">
        <f>MAX($B$34,($F$7+0.5*$F$8))</f>
        <v>279000000</v>
      </c>
    </row>
    <row r="39" spans="1:7" ht="18" customHeight="1" x14ac:dyDescent="0.45">
      <c r="A39" s="189" t="s">
        <v>193</v>
      </c>
      <c r="B39" s="190"/>
      <c r="C39" s="118">
        <f>C38^3*$B$32+(1-C38^3)*$B$36</f>
        <v>5574217294.3888292</v>
      </c>
      <c r="D39" s="118">
        <f>D38^3*$B$32+(1-D38^3)*$B$36</f>
        <v>5215030912.3179493</v>
      </c>
      <c r="E39" s="118">
        <f>$B$32*($B$34/E38)^3+(1-($B$34/E38)^3)*$B$36</f>
        <v>2.1570758575671693E+33</v>
      </c>
      <c r="F39" s="118">
        <f>$B$32*($B$34/F38)^3+(1-($B$34/F38)^3)*$B$36</f>
        <v>1.4898799985452883E+35</v>
      </c>
      <c r="G39" s="119">
        <f>$B$32*($B$34/G38)^3+(1-($B$34/G38)^3)*$B$36</f>
        <v>5351389721.6809177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12.252047063623863</v>
      </c>
      <c r="D40" s="110">
        <f>(5/48)*$F$10*$B$10^2/($F$31*$C$39)</f>
        <v>15.652615228221507</v>
      </c>
      <c r="E40" s="110">
        <f>D40-C40</f>
        <v>3.4005681645976438</v>
      </c>
      <c r="F40" s="110">
        <f>(5/48)*(F7+0.5*F8)*$B$10^2/($F$31*$C$39)</f>
        <v>13.952331145922685</v>
      </c>
      <c r="G40" s="112">
        <f>F40-C40</f>
        <v>1.7002840822988219</v>
      </c>
    </row>
    <row r="41" spans="1:7" ht="18" customHeight="1" x14ac:dyDescent="0.45">
      <c r="A41" s="94" t="s">
        <v>195</v>
      </c>
      <c r="B41" s="110">
        <f>E40+(C40*F34)+(G40*F35)</f>
        <v>30.965173639983249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34.583333333333336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sheetPr codeName="Sheet76"/>
  <dimension ref="A1:R51"/>
  <sheetViews>
    <sheetView view="pageLayout" topLeftCell="A19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387*10^6</f>
        <v>387000000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376*10^6</f>
        <v>376000000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113*10^6</f>
        <v>113000000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151*10^6</f>
        <v>151000000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412*10^3</f>
        <v>412000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6800</v>
      </c>
      <c r="C10" s="98" t="s">
        <v>36</v>
      </c>
      <c r="E10" s="96" t="s">
        <v>139</v>
      </c>
      <c r="F10" s="99">
        <f>F7+F8</f>
        <v>264000000</v>
      </c>
      <c r="G10" s="97" t="s">
        <v>123</v>
      </c>
      <c r="J10" s="85" t="s">
        <v>140</v>
      </c>
      <c r="K10" s="85">
        <f>B8*B12</f>
        <v>370200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1.8825515490772433</v>
      </c>
      <c r="C15" s="110">
        <f>$F$6/($F$11*B8*B12^2)</f>
        <v>1.8290423319200089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5.0197445859286082E-3</v>
      </c>
      <c r="C16" s="114">
        <f>0.85*$B$5/$B$6*(1-SQRT(1-(2*C15/(0.85*$B$5))))</f>
        <v>4.8713145894722677E-3</v>
      </c>
      <c r="E16" s="96" t="s">
        <v>151</v>
      </c>
      <c r="F16" s="110">
        <f>B22*$B$6/(0.85*$B$5*$B$8)</f>
        <v>56.055868916994356</v>
      </c>
      <c r="G16" s="112">
        <f>C22*$B$6/(0.85*$B$5*$B$8)</f>
        <v>56.055868916994356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65.948081078816898</v>
      </c>
      <c r="G17" s="112">
        <f>G16/G15</f>
        <v>65.948081078816898</v>
      </c>
    </row>
    <row r="18" spans="1:18" ht="18" customHeight="1" x14ac:dyDescent="0.45">
      <c r="A18" s="94" t="s">
        <v>154</v>
      </c>
      <c r="B18" s="113">
        <f>MAX(B16:B17)</f>
        <v>5.0197445859286082E-3</v>
      </c>
      <c r="C18" s="114">
        <f>MAX(C16:C17)</f>
        <v>4.8713145894722677E-3</v>
      </c>
      <c r="E18" s="96" t="s">
        <v>155</v>
      </c>
      <c r="F18" s="115">
        <f>0.003*($B$12-F17)/F17</f>
        <v>2.5067533879989685E-2</v>
      </c>
      <c r="G18" s="116">
        <f>0.003*($B$12-G17)/G17</f>
        <v>2.5067533879989685E-2</v>
      </c>
    </row>
    <row r="19" spans="1:18" ht="18" customHeight="1" x14ac:dyDescent="0.45">
      <c r="A19" s="94" t="s">
        <v>156</v>
      </c>
      <c r="B19" s="110">
        <f>$K$10*B18</f>
        <v>1858.3094457107707</v>
      </c>
      <c r="C19" s="117">
        <f>$K$10*C18</f>
        <v>1803.3606610226336</v>
      </c>
      <c r="E19" s="96" t="s">
        <v>157</v>
      </c>
      <c r="F19" s="118">
        <f>B22*$B$6*($B$12-F16/2)</f>
        <v>505134715.79701811</v>
      </c>
      <c r="G19" s="119">
        <f>C22*$B$6*($B$12-G16/2)</f>
        <v>505134715.79701811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454621244.21731633</v>
      </c>
      <c r="G20" s="119">
        <f>$F$11*G19</f>
        <v>454621244.21731633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7</v>
      </c>
      <c r="C21" s="95">
        <v>7</v>
      </c>
      <c r="E21" s="96" t="s">
        <v>76</v>
      </c>
      <c r="F21" s="120">
        <f>F20/F5</f>
        <v>1.1747318972023677</v>
      </c>
      <c r="G21" s="121">
        <f>G20/F6</f>
        <v>1.2090990537694584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2199.1148575128555</v>
      </c>
      <c r="C22" s="123">
        <f>C20^2*PI()/4*C21</f>
        <v>2199.1148575128555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412000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153472.21424477408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3*B27^2*PI()/4</f>
        <v>150.79644737231007</v>
      </c>
      <c r="C28" s="85" t="s">
        <v>175</v>
      </c>
      <c r="E28" s="96" t="s">
        <v>176</v>
      </c>
      <c r="F28" s="111">
        <f>MIN((B28*B7/(B8*0.062*SQRT(B5))),(B28*B7/(0.345*B8)),B12/2,600)</f>
        <v>160.26675566139235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100.030043876563</v>
      </c>
      <c r="C29" s="104" t="s">
        <v>36</v>
      </c>
      <c r="D29" s="104"/>
      <c r="E29" s="105" t="s">
        <v>178</v>
      </c>
      <c r="F29" s="128">
        <f>MIN(B29,F28)</f>
        <v>100.030043876563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161.12785083298141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4387277220.3863268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1.0083964903109353</v>
      </c>
      <c r="D38" s="118">
        <f>$B$34/F10</f>
        <v>0.43162425532248361</v>
      </c>
      <c r="E38" s="118">
        <f>B34/F8</f>
        <v>0.75462783712010384</v>
      </c>
      <c r="F38" s="118">
        <f>B34/(F7+0.5*F8)</f>
        <v>0.60450293583626358</v>
      </c>
      <c r="G38" s="119">
        <f>MAX($B$34,($F$7+0.5*$F$8))</f>
        <v>188500000</v>
      </c>
    </row>
    <row r="39" spans="1:7" ht="18" customHeight="1" x14ac:dyDescent="0.45">
      <c r="A39" s="189" t="s">
        <v>193</v>
      </c>
      <c r="B39" s="190"/>
      <c r="C39" s="118">
        <f>C38^3*$B$32+(1-C38^3)*$B$36</f>
        <v>11931134423.455359</v>
      </c>
      <c r="D39" s="118">
        <f>D38^3*$B$32+(1-D38^3)*$B$36</f>
        <v>4978862023.2366648</v>
      </c>
      <c r="E39" s="118">
        <f>$B$32*($B$34/E38)^3+(1-($B$34/E38)^3)*$B$36</f>
        <v>2.5329716241216828E+34</v>
      </c>
      <c r="F39" s="118">
        <f>$B$32*($B$34/F38)^3+(1-($B$34/F38)^3)*$B$36</f>
        <v>4.9275784397863232E+34</v>
      </c>
      <c r="G39" s="119">
        <f>$B$32*($B$34/G38)^3+(1-($B$34/G38)^3)*$B$36</f>
        <v>6012431986.7430601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1.7720860704411949</v>
      </c>
      <c r="D40" s="110">
        <f>(5/48)*$F$10*$B$10^2/($F$31*$C$39)</f>
        <v>4.1400948902342956</v>
      </c>
      <c r="E40" s="110">
        <f>D40-C40</f>
        <v>2.3680088197931006</v>
      </c>
      <c r="F40" s="110">
        <f>(5/48)*(F7+0.5*F8)*$B$10^2/($F$31*$C$39)</f>
        <v>2.9560904803377457</v>
      </c>
      <c r="G40" s="112">
        <f>F40-C40</f>
        <v>1.1840044098965508</v>
      </c>
    </row>
    <row r="41" spans="1:7" ht="18" customHeight="1" x14ac:dyDescent="0.45">
      <c r="A41" s="94" t="s">
        <v>195</v>
      </c>
      <c r="B41" s="110">
        <f>E40+(C40*F34)+(G40*F35)</f>
        <v>8.0433888984892814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28.333333333333332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sheetPr codeName="Sheet77"/>
  <dimension ref="A1:R51"/>
  <sheetViews>
    <sheetView topLeftCell="A19" zoomScaleNormal="100" workbookViewId="0">
      <selection activeCell="B12" sqref="B12:D1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596*10^6</f>
        <v>596000000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491*10^6</f>
        <v>491000000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155*10^6</f>
        <v>155000000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192*10^6</f>
        <v>192000000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542*10^3</f>
        <v>542000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6855</v>
      </c>
      <c r="C10" s="98" t="s">
        <v>36</v>
      </c>
      <c r="E10" s="96" t="s">
        <v>139</v>
      </c>
      <c r="F10" s="99">
        <f>F7+F8</f>
        <v>347000000</v>
      </c>
      <c r="G10" s="97" t="s">
        <v>123</v>
      </c>
      <c r="J10" s="85" t="s">
        <v>140</v>
      </c>
      <c r="K10" s="85">
        <f>B8*B12</f>
        <v>370200</v>
      </c>
      <c r="M10" s="85">
        <v>642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2.8992266750646949</v>
      </c>
      <c r="C15" s="110">
        <f>$F$6/($F$11*B8*B12^2)</f>
        <v>2.3884568749274586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7.9127036233293743E-3</v>
      </c>
      <c r="C16" s="114">
        <f>0.85*$B$5/$B$6*(1-SQRT(1-(2*C15/(0.85*$B$5))))</f>
        <v>6.441552374232053E-3</v>
      </c>
      <c r="E16" s="96" t="s">
        <v>151</v>
      </c>
      <c r="F16" s="110">
        <f>B22*$B$6/(0.85*$B$5*$B$8)</f>
        <v>80.079812738563362</v>
      </c>
      <c r="G16" s="112">
        <f>C22*$B$6/(0.85*$B$5*$B$8)</f>
        <v>80.079812738563362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94.21154439830984</v>
      </c>
      <c r="G17" s="112">
        <f>G16/G15</f>
        <v>94.21154439830984</v>
      </c>
    </row>
    <row r="18" spans="1:18" ht="18" customHeight="1" x14ac:dyDescent="0.45">
      <c r="A18" s="94" t="s">
        <v>154</v>
      </c>
      <c r="B18" s="113">
        <f>MAX(B16:B17)</f>
        <v>7.9127036233293743E-3</v>
      </c>
      <c r="C18" s="114">
        <f>MAX(C16:C17)</f>
        <v>6.441552374232053E-3</v>
      </c>
      <c r="E18" s="96" t="s">
        <v>155</v>
      </c>
      <c r="F18" s="115">
        <f>0.003*($B$12-F17)/F17</f>
        <v>1.6647273715992783E-2</v>
      </c>
      <c r="G18" s="116">
        <f>0.003*($B$12-G17)/G17</f>
        <v>1.6647273715992783E-2</v>
      </c>
    </row>
    <row r="19" spans="1:18" ht="18" customHeight="1" x14ac:dyDescent="0.45">
      <c r="A19" s="94" t="s">
        <v>156</v>
      </c>
      <c r="B19" s="110">
        <f>$K$10*B18</f>
        <v>2929.2828813565343</v>
      </c>
      <c r="C19" s="117">
        <f>$K$10*C18</f>
        <v>2384.6626889407062</v>
      </c>
      <c r="E19" s="96" t="s">
        <v>157</v>
      </c>
      <c r="F19" s="118">
        <f>B22*$B$6*($B$12-F16/2)</f>
        <v>706903700.71025026</v>
      </c>
      <c r="G19" s="119">
        <f>C22*$B$6*($B$12-G16/2)</f>
        <v>706903700.71025026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636213330.63922524</v>
      </c>
      <c r="G20" s="119">
        <f>$F$11*G19</f>
        <v>636213330.63922524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10</v>
      </c>
      <c r="E21" s="96" t="s">
        <v>76</v>
      </c>
      <c r="F21" s="120">
        <f>F20/F5</f>
        <v>1.0674720312738679</v>
      </c>
      <c r="G21" s="121">
        <f>G20/F6</f>
        <v>1.2957501642346747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3141.5926535897934</v>
      </c>
      <c r="C22" s="123">
        <f>C20^2*PI()/4*C21</f>
        <v>3141.5926535897934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542000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283472.21424477408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251.32741228718345</v>
      </c>
      <c r="C28" s="85" t="s">
        <v>175</v>
      </c>
      <c r="E28" s="96" t="s">
        <v>176</v>
      </c>
      <c r="F28" s="111">
        <f>MIN((B28*B7/(B8*0.062*SQRT(B5))),(B28*B7/(0.345*B8)),B12/2,600)</f>
        <v>267.11125943565395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90.260653151011283</v>
      </c>
      <c r="C29" s="104" t="s">
        <v>36</v>
      </c>
      <c r="D29" s="104"/>
      <c r="E29" s="105" t="s">
        <v>178</v>
      </c>
      <c r="F29" s="128">
        <f>MIN(B29,F28)</f>
        <v>90.260653151011283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187.03278300942134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5820767304.4255733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0.73515357035571405</v>
      </c>
      <c r="D38" s="118">
        <f>$B$34/F10</f>
        <v>0.3283827187467887</v>
      </c>
      <c r="E38" s="118">
        <f>B34/F8</f>
        <v>0.59348335106841499</v>
      </c>
      <c r="F38" s="118">
        <f>B34/(F7+0.5*F8)</f>
        <v>0.4539792964348035</v>
      </c>
      <c r="G38" s="119">
        <f>MAX($B$34,($F$7+0.5*$F$8))</f>
        <v>251000000</v>
      </c>
    </row>
    <row r="39" spans="1:7" ht="18" customHeight="1" x14ac:dyDescent="0.45">
      <c r="A39" s="189" t="s">
        <v>193</v>
      </c>
      <c r="B39" s="190"/>
      <c r="C39" s="118">
        <f>C38^3*$B$32+(1-C38^3)*$B$36</f>
        <v>8174254016.7389336</v>
      </c>
      <c r="D39" s="118">
        <f>D38^3*$B$32+(1-D38^3)*$B$36</f>
        <v>6030525250.0044765</v>
      </c>
      <c r="E39" s="118">
        <f>$B$32*($B$34/E38)^3+(1-($B$34/E38)^3)*$B$36</f>
        <v>4.1925787079281081E+34</v>
      </c>
      <c r="F39" s="118">
        <f>$B$32*($B$34/F38)^3+(1-($B$34/F38)^3)*$B$36</f>
        <v>9.3669608004143152E+34</v>
      </c>
      <c r="G39" s="119">
        <f>$B$32*($B$34/G38)^3+(1-($B$34/G38)^3)*$B$36</f>
        <v>6374991753.9594431</v>
      </c>
    </row>
    <row r="40" spans="1:7" ht="18" customHeight="1" x14ac:dyDescent="0.45">
      <c r="A40" s="189" t="s">
        <v>194</v>
      </c>
      <c r="B40" s="190"/>
      <c r="C40" s="110">
        <f>(5/48)*$F$7*$B$10^2/($F$31*$C$39)</f>
        <v>3.6055271376466584</v>
      </c>
      <c r="D40" s="110">
        <f>(5/48)*$F$10*$B$10^2/($F$31*$C$39)</f>
        <v>8.0717284952476813</v>
      </c>
      <c r="E40" s="110">
        <f>D40-C40</f>
        <v>4.4662013576010224</v>
      </c>
      <c r="F40" s="110">
        <f>(5/48)*(F7+0.5*F8)*$B$10^2/($F$31*$C$39)</f>
        <v>5.8386278164471692</v>
      </c>
      <c r="G40" s="112">
        <f>F40-C40</f>
        <v>2.2331006788005108</v>
      </c>
    </row>
    <row r="41" spans="1:7" ht="18" customHeight="1" x14ac:dyDescent="0.45">
      <c r="A41" s="94" t="s">
        <v>195</v>
      </c>
      <c r="B41" s="110">
        <f>E40+(C40*F34)+(G40*F35)</f>
        <v>15.69683685473526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28.5625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sheetPr codeName="Sheet78"/>
  <dimension ref="A1:R51"/>
  <sheetViews>
    <sheetView view="pageLayout" topLeftCell="A19" zoomScaleNormal="100" workbookViewId="0">
      <selection activeCell="G42" sqref="A4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587*10^6</f>
        <v>587000000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11*10^6</f>
        <v>11000000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3*10^6</f>
        <v>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6*10^6</f>
        <v>6000000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262*10^3</f>
        <v>262000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4000</v>
      </c>
      <c r="C10" s="98" t="s">
        <v>36</v>
      </c>
      <c r="E10" s="96" t="s">
        <v>139</v>
      </c>
      <c r="F10" s="99">
        <f>F7+F8</f>
        <v>9000000</v>
      </c>
      <c r="G10" s="97" t="s">
        <v>123</v>
      </c>
      <c r="J10" s="85" t="s">
        <v>140</v>
      </c>
      <c r="K10" s="85">
        <f>B8*B12</f>
        <v>370200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2.8554464064815033</v>
      </c>
      <c r="C15" s="110">
        <f>$F$6/($F$11*B8*B12^2)</f>
        <v>5.3509217157234307E-2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7.7851326093970694E-3</v>
      </c>
      <c r="C16" s="114">
        <f>0.85*$B$5/$B$6*(1-SQRT(1-(2*C15/(0.85*$B$5))))</f>
        <v>1.3734737734353084E-4</v>
      </c>
      <c r="E16" s="96" t="s">
        <v>151</v>
      </c>
      <c r="F16" s="110">
        <f>B22*$B$6/(0.85*$B$5*$B$8)</f>
        <v>80.079812738563362</v>
      </c>
      <c r="G16" s="112">
        <f>C22*$B$6/(0.85*$B$5*$B$8)</f>
        <v>40.039906369281681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94.21154439830984</v>
      </c>
      <c r="G17" s="112">
        <f>G16/G15</f>
        <v>47.10577219915492</v>
      </c>
    </row>
    <row r="18" spans="1:18" ht="18" customHeight="1" x14ac:dyDescent="0.45">
      <c r="A18" s="94" t="s">
        <v>154</v>
      </c>
      <c r="B18" s="113">
        <f>MAX(B16:B17)</f>
        <v>7.7851326093970694E-3</v>
      </c>
      <c r="C18" s="114">
        <f>MAX(C16:C17)</f>
        <v>3.5897435897435893E-3</v>
      </c>
      <c r="E18" s="96" t="s">
        <v>155</v>
      </c>
      <c r="F18" s="115">
        <f>0.003*($B$12-F17)/F17</f>
        <v>1.6647273715992783E-2</v>
      </c>
      <c r="G18" s="116">
        <f>0.003*($B$12-G17)/G17</f>
        <v>3.6294547431985569E-2</v>
      </c>
    </row>
    <row r="19" spans="1:18" ht="18" customHeight="1" x14ac:dyDescent="0.45">
      <c r="A19" s="94" t="s">
        <v>156</v>
      </c>
      <c r="B19" s="110">
        <f>$K$10*B18</f>
        <v>2882.0560919987952</v>
      </c>
      <c r="C19" s="117">
        <f>$K$10*C18</f>
        <v>1328.9230769230767</v>
      </c>
      <c r="E19" s="96" t="s">
        <v>157</v>
      </c>
      <c r="F19" s="118">
        <f>B22*$B$6*($B$12-F16/2)</f>
        <v>706903700.71025026</v>
      </c>
      <c r="G19" s="119">
        <f>C22*$B$6*($B$12-G16/2)</f>
        <v>365716285.23589057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636213330.63922524</v>
      </c>
      <c r="G20" s="119">
        <f>$F$11*G19</f>
        <v>329144656.71230149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5</v>
      </c>
      <c r="E21" s="96" t="s">
        <v>76</v>
      </c>
      <c r="F21" s="120">
        <f>F20/F5</f>
        <v>1.0838387234058351</v>
      </c>
      <c r="G21" s="121">
        <f>G20/F6</f>
        <v>29.922241519300137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3141.5926535897934</v>
      </c>
      <c r="C22" s="123">
        <f>C20^2*PI()/4*C21</f>
        <v>1570.7963267948967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262000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3472.2142447740771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251.32741228718345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13063.043699640704</v>
      </c>
      <c r="C29" s="104" t="s">
        <v>36</v>
      </c>
      <c r="D29" s="104"/>
      <c r="E29" s="105" t="s">
        <v>178</v>
      </c>
      <c r="F29" s="128">
        <f>MIN(B29,F28)</f>
        <v>308.5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139.38724226753476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3325458760.7647657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37.982934468378559</v>
      </c>
      <c r="D38" s="118">
        <f>$B$34/F10</f>
        <v>12.660978156126186</v>
      </c>
      <c r="E38" s="118">
        <f>B34/F8</f>
        <v>18.99146723418928</v>
      </c>
      <c r="F38" s="118">
        <f>B34/(F7+0.5*F8)</f>
        <v>18.99146723418928</v>
      </c>
      <c r="G38" s="119">
        <f>MAX($B$34,($F$7+0.5*$F$8))</f>
        <v>113948803.40513568</v>
      </c>
    </row>
    <row r="39" spans="1:7" ht="18" customHeight="1" x14ac:dyDescent="0.45">
      <c r="A39" s="189" t="s">
        <v>193</v>
      </c>
      <c r="B39" s="190"/>
      <c r="C39" s="118">
        <f>C38^3*$B$32+(1-C38^3)*$B$36</f>
        <v>461337443999923.75</v>
      </c>
      <c r="D39" s="118">
        <f>D38^3*$B$32+(1-D38^3)*$B$36</f>
        <v>17089774293618.646</v>
      </c>
      <c r="E39" s="118">
        <f>$B$32*($B$34/E38)^3+(1-($B$34/E38)^3)*$B$36</f>
        <v>1.8184601280748105E+30</v>
      </c>
      <c r="F39" s="118">
        <f>$B$32*($B$34/F38)^3+(1-($B$34/F38)^3)*$B$36</f>
        <v>1.8184601280748105E+30</v>
      </c>
      <c r="G39" s="119">
        <f>$B$32*($B$34/G38)^3+(1-($B$34/G38)^3)*$B$36</f>
        <v>11744255650</v>
      </c>
    </row>
    <row r="40" spans="1:7" ht="18" customHeight="1" x14ac:dyDescent="0.45">
      <c r="A40" s="189" t="s">
        <v>194</v>
      </c>
      <c r="B40" s="190"/>
      <c r="C40" s="110">
        <f>(5/48)*$F$7*$B$10^2/($F$31*$C$39)</f>
        <v>4.2101039011125139E-7</v>
      </c>
      <c r="D40" s="110">
        <f>(5/48)*$F$10*$B$10^2/($F$31*$C$39)</f>
        <v>1.2630311703337541E-6</v>
      </c>
      <c r="E40" s="110">
        <f>D40-C40</f>
        <v>8.4202078022250268E-7</v>
      </c>
      <c r="F40" s="110">
        <f>(5/48)*(F7+0.5*F8)*$B$10^2/($F$31*$C$39)</f>
        <v>8.4202078022250279E-7</v>
      </c>
      <c r="G40" s="112">
        <f>F40-C40</f>
        <v>4.2101039011125139E-7</v>
      </c>
    </row>
    <row r="41" spans="1:7" ht="18" customHeight="1" x14ac:dyDescent="0.45">
      <c r="A41" s="94" t="s">
        <v>195</v>
      </c>
      <c r="B41" s="110">
        <f>E40+(C40*F34)+(G40*F35)</f>
        <v>2.4418602626452582E-6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16.666666666666668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sheetPr codeName="Sheet56"/>
  <dimension ref="A1:R51"/>
  <sheetViews>
    <sheetView view="pageLayout" topLeftCell="A16" zoomScaleNormal="100" workbookViewId="0">
      <selection activeCell="D21" sqref="D21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221</v>
      </c>
      <c r="B3" s="182"/>
      <c r="C3" s="182"/>
      <c r="D3" s="182"/>
      <c r="E3" s="182"/>
      <c r="F3" s="182"/>
      <c r="G3" s="183"/>
      <c r="L3" s="85">
        <v>574</v>
      </c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1780*10^6</f>
        <v>1780000000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1358*10^6</f>
        <v>1358000000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540*10^6</f>
        <v>540000000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443*10^6</f>
        <v>443000000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D9" s="141">
        <v>145</v>
      </c>
      <c r="E9" s="96" t="s">
        <v>135</v>
      </c>
      <c r="F9" s="95">
        <f>1100*10^3</f>
        <v>1100000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99">
        <f>F7+F8</f>
        <v>983000000</v>
      </c>
      <c r="G10" s="97" t="s">
        <v>123</v>
      </c>
      <c r="J10" s="85" t="s">
        <v>140</v>
      </c>
      <c r="K10" s="85">
        <f>B8*B12</f>
        <v>444000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B9-D9</f>
        <v>555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8.0260440620800981</v>
      </c>
      <c r="C15" s="110">
        <f>$F$6/($F$11*B8*B12^2)</f>
        <v>6.1232403574745913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2.5585501743231241E-2</v>
      </c>
      <c r="C16" s="114">
        <f>0.85*$B$5/$B$6*(1-SQRT(1-(2*C15/(0.85*$B$5))))</f>
        <v>1.8246622081112284E-2</v>
      </c>
      <c r="E16" s="96" t="s">
        <v>151</v>
      </c>
      <c r="F16" s="110">
        <f>B22*$B$6/(0.85*$B$5*$B$8)</f>
        <v>246.00518473286661</v>
      </c>
      <c r="G16" s="112">
        <f>C22*$B$6/(0.85*$B$5*$B$8)</f>
        <v>369.00777709929991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289.41786439160779</v>
      </c>
      <c r="G17" s="112">
        <f>G16/G15</f>
        <v>434.12679658741166</v>
      </c>
    </row>
    <row r="18" spans="1:18" ht="18" customHeight="1" x14ac:dyDescent="0.45">
      <c r="A18" s="94" t="s">
        <v>154</v>
      </c>
      <c r="B18" s="113">
        <f>MAX(B16:B17)</f>
        <v>2.5585501743231241E-2</v>
      </c>
      <c r="C18" s="114">
        <f>MAX(C16:C17)</f>
        <v>1.8246622081112284E-2</v>
      </c>
      <c r="E18" s="96" t="s">
        <v>155</v>
      </c>
      <c r="F18" s="115">
        <f>0.003*($B$12-F17)/F17</f>
        <v>2.7529275309250045E-3</v>
      </c>
      <c r="G18" s="116">
        <f>0.003*($B$12-G17)/G17</f>
        <v>8.3528502061666989E-4</v>
      </c>
    </row>
    <row r="19" spans="1:18" ht="18" customHeight="1" x14ac:dyDescent="0.45">
      <c r="A19" s="94" t="s">
        <v>156</v>
      </c>
      <c r="B19" s="110">
        <f>$K$10*B18</f>
        <v>11359.96277399467</v>
      </c>
      <c r="C19" s="117">
        <f>$K$10*C18</f>
        <v>8101.5002040138543</v>
      </c>
      <c r="E19" s="96" t="s">
        <v>157</v>
      </c>
      <c r="F19" s="118">
        <f>B22*$B$6*($B$12-F16/2)</f>
        <v>2167981482.2079072</v>
      </c>
      <c r="G19" s="119">
        <f>C22*$B$6*($B$12-G16/2)</f>
        <v>2789005308.8086543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32</v>
      </c>
      <c r="C20" s="95">
        <v>32</v>
      </c>
      <c r="E20" s="96" t="s">
        <v>162</v>
      </c>
      <c r="F20" s="118">
        <f>$F$11*F19</f>
        <v>1951183333.9871166</v>
      </c>
      <c r="G20" s="119">
        <f>$F$11*G19</f>
        <v>2510104777.9277887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16</v>
      </c>
      <c r="C21" s="95">
        <v>24</v>
      </c>
      <c r="E21" s="96" t="s">
        <v>76</v>
      </c>
      <c r="F21" s="120">
        <f>F20/F5</f>
        <v>1.0961704123523126</v>
      </c>
      <c r="G21" s="121">
        <f>G20/F6</f>
        <v>1.8483834889011699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12867.963509103793</v>
      </c>
      <c r="C22" s="123">
        <f>C20^2*PI()/4*C21</f>
        <v>19301.945263655689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310065.73980367451</v>
      </c>
      <c r="C24" s="85" t="s">
        <v>136</v>
      </c>
      <c r="E24" s="96" t="s">
        <v>169</v>
      </c>
      <c r="F24" s="99">
        <f>F9</f>
        <v>1100000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155032.86990183726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789934.26019632549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8*B27^2*PI()/4</f>
        <v>628.31853071795865</v>
      </c>
      <c r="C28" s="85" t="s">
        <v>175</v>
      </c>
      <c r="E28" s="96" t="s">
        <v>176</v>
      </c>
      <c r="F28" s="111">
        <f>MIN((B28*B7/(B8*0.062*SQRT(B5))),(B28*B7/(0.345*B8)),B12/2,600)</f>
        <v>277.5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129.12423807909818</v>
      </c>
      <c r="C29" s="104" t="s">
        <v>36</v>
      </c>
      <c r="D29" s="104"/>
      <c r="E29" s="105" t="s">
        <v>178</v>
      </c>
      <c r="F29" s="128">
        <f>MIN(B29,F28)</f>
        <v>129.12423807909818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11396924999.999998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12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  <c r="L33" s="85">
        <f>32*2.5</f>
        <v>80</v>
      </c>
    </row>
    <row r="34" spans="1:12" ht="18" customHeight="1" x14ac:dyDescent="0.45">
      <c r="A34" s="94" t="s">
        <v>87</v>
      </c>
      <c r="B34" s="118">
        <f>F32*B32/B33</f>
        <v>110578822.95401801</v>
      </c>
      <c r="C34" s="85" t="s">
        <v>123</v>
      </c>
      <c r="E34" s="96" t="s">
        <v>183</v>
      </c>
      <c r="F34" s="99">
        <v>2</v>
      </c>
      <c r="G34" s="97"/>
    </row>
    <row r="35" spans="1:12" ht="18" customHeight="1" x14ac:dyDescent="0.45">
      <c r="A35" s="94" t="s">
        <v>184</v>
      </c>
      <c r="B35" s="110">
        <f>(-F33*C22+SQRT((F33*C22)^2+2*F33*B8*B12*C22))/B8</f>
        <v>305.7095999104946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12" ht="18" customHeight="1" x14ac:dyDescent="0.45">
      <c r="A36" s="94" t="s">
        <v>94</v>
      </c>
      <c r="B36" s="118">
        <f>($B$8*B35^3/3)+($F$33*C22*($B$12-B35)^2)</f>
        <v>16938273446.105461</v>
      </c>
      <c r="C36" s="85" t="s">
        <v>182</v>
      </c>
      <c r="E36" s="127"/>
      <c r="G36" s="97"/>
    </row>
    <row r="37" spans="1:12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12" ht="18" customHeight="1" x14ac:dyDescent="0.45">
      <c r="A38" s="189" t="s">
        <v>192</v>
      </c>
      <c r="B38" s="190"/>
      <c r="C38" s="118">
        <f>B34/F7</f>
        <v>0.20477559806299631</v>
      </c>
      <c r="D38" s="118">
        <f>$B$34/F10</f>
        <v>0.11249117289320246</v>
      </c>
      <c r="E38" s="118">
        <f>B34/F8</f>
        <v>0.24961359583299778</v>
      </c>
      <c r="F38" s="118">
        <f>B34/(F7+0.5*F8)</f>
        <v>0.1452118489218884</v>
      </c>
      <c r="G38" s="119">
        <f>MAX($B$34,($F$7+0.5*$F$8))</f>
        <v>761500000</v>
      </c>
    </row>
    <row r="39" spans="1:12" ht="18" customHeight="1" x14ac:dyDescent="0.45">
      <c r="A39" s="189" t="s">
        <v>193</v>
      </c>
      <c r="B39" s="190"/>
      <c r="C39" s="118">
        <f>C38^3*$B$32+(1-C38^3)*$B$36</f>
        <v>16890690637.942493</v>
      </c>
      <c r="D39" s="118">
        <f>D38^3*$B$32+(1-D38^3)*$B$36</f>
        <v>16930385375.398022</v>
      </c>
      <c r="E39" s="118">
        <f>$B$32*($B$34/E38)^3+(1-($B$34/E38)^3)*$B$36</f>
        <v>-4.817554524014897E+35</v>
      </c>
      <c r="F39" s="118">
        <f>$B$32*($B$34/F38)^3+(1-($B$34/F38)^3)*$B$36</f>
        <v>-2.4469504941782892E+36</v>
      </c>
      <c r="G39" s="119">
        <f>$B$32*($B$34/G38)^3+(1-($B$34/G38)^3)*$B$36</f>
        <v>16921305798.911331</v>
      </c>
    </row>
    <row r="40" spans="1:12" ht="18" customHeight="1" x14ac:dyDescent="0.45">
      <c r="A40" s="189" t="s">
        <v>194</v>
      </c>
      <c r="B40" s="190"/>
      <c r="C40" s="110">
        <f>(5/48)*$F$7*$B$10^2/($F$31*$C$39)</f>
        <v>10.478561163207958</v>
      </c>
      <c r="D40" s="110">
        <f>(5/48)*$F$10*$B$10^2/($F$31*$C$39)</f>
        <v>19.074862265617455</v>
      </c>
      <c r="E40" s="110">
        <f>D40-C40</f>
        <v>8.5963011024094964</v>
      </c>
      <c r="F40" s="110">
        <f>(5/48)*(F7+0.5*F8)*$B$10^2/($F$31*$C$39)</f>
        <v>14.776711714412706</v>
      </c>
      <c r="G40" s="112">
        <f>F40-C40</f>
        <v>4.2981505512047473</v>
      </c>
    </row>
    <row r="41" spans="1:12" ht="18" customHeight="1" x14ac:dyDescent="0.45">
      <c r="A41" s="94" t="s">
        <v>195</v>
      </c>
      <c r="B41" s="110">
        <f>E40+(C40*F34)+(G40*F35)</f>
        <v>37.29009442099396</v>
      </c>
      <c r="C41" s="85" t="s">
        <v>36</v>
      </c>
      <c r="D41" s="191" t="str">
        <f>IF(B42&gt;B41,"OK","NO")</f>
        <v>OK</v>
      </c>
      <c r="G41" s="97"/>
    </row>
    <row r="42" spans="1:12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12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1:D1"/>
    <mergeCell ref="E1:F2"/>
    <mergeCell ref="B2:D2"/>
    <mergeCell ref="A3:G3"/>
    <mergeCell ref="A4:D4"/>
    <mergeCell ref="E4:G4"/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8"/>
  <dimension ref="A1:R51"/>
  <sheetViews>
    <sheetView view="pageLayout" topLeftCell="J1" zoomScale="70" zoomScaleNormal="100" zoomScalePageLayoutView="70" workbookViewId="0">
      <selection activeCell="D32" sqref="D3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197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494*10^6</f>
        <v>494000000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341*10^6</f>
        <v>341000000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207*10^6</f>
        <v>207000000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58*10^6</f>
        <v>58000000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291*10^3</f>
        <v>291000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99">
        <f>F7+F8</f>
        <v>265000000</v>
      </c>
      <c r="G10" s="97" t="s">
        <v>123</v>
      </c>
      <c r="J10" s="85" t="s">
        <v>140</v>
      </c>
      <c r="K10" s="85">
        <f>B8*B12</f>
        <v>370200</v>
      </c>
    </row>
    <row r="11" spans="1:17" ht="18" customHeight="1" x14ac:dyDescent="0.45">
      <c r="A11" s="94" t="s">
        <v>141</v>
      </c>
      <c r="B11" s="95">
        <f>40+0</f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2.4030502977885226</v>
      </c>
      <c r="C15" s="110">
        <f>$F$6/($F$11*B8*B12^2)</f>
        <v>1.6587857318742634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6.4830753462812611E-3</v>
      </c>
      <c r="C16" s="114">
        <f>0.85*$B$5/$B$6*(1-SQRT(1-(2*C15/(0.85*$B$5))))</f>
        <v>4.4014407790479333E-3</v>
      </c>
      <c r="E16" s="96" t="s">
        <v>151</v>
      </c>
      <c r="F16" s="110">
        <f>B22*$B$6/(0.85*$B$5*$B$8)</f>
        <v>64.063850190850687</v>
      </c>
      <c r="G16" s="112">
        <f>C22*$B$6/(0.85*$B$5*$B$8)</f>
        <v>48.047887643138019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75.369235518647869</v>
      </c>
      <c r="G17" s="112">
        <f>G16/G15</f>
        <v>56.526926638985906</v>
      </c>
    </row>
    <row r="18" spans="1:18" ht="18" customHeight="1" x14ac:dyDescent="0.45">
      <c r="A18" s="94" t="s">
        <v>154</v>
      </c>
      <c r="B18" s="113">
        <f>MAX(B16:B17)</f>
        <v>6.4830753462812611E-3</v>
      </c>
      <c r="C18" s="114">
        <f>MAX(C16:C17)</f>
        <v>4.4014407790479333E-3</v>
      </c>
      <c r="E18" s="96" t="s">
        <v>155</v>
      </c>
      <c r="F18" s="115">
        <f>0.003*($B$12-F17)/F17</f>
        <v>2.1559092144990979E-2</v>
      </c>
      <c r="G18" s="116">
        <f>0.003*($B$12-G17)/G17</f>
        <v>2.9745456193321307E-2</v>
      </c>
    </row>
    <row r="19" spans="1:18" ht="18" customHeight="1" x14ac:dyDescent="0.45">
      <c r="A19" s="94" t="s">
        <v>156</v>
      </c>
      <c r="B19" s="110">
        <f>$K$10*B18</f>
        <v>2400.0344931933228</v>
      </c>
      <c r="C19" s="117">
        <f>$K$10*C18</f>
        <v>1629.4133764035448</v>
      </c>
      <c r="E19" s="96" t="s">
        <v>157</v>
      </c>
      <c r="F19" s="118">
        <f>B22*$B$6*($B$12-F16/2)</f>
        <v>573372198.89189005</v>
      </c>
      <c r="G19" s="119">
        <f>C22*$B$6*($B$12-G16/2)</f>
        <v>435916077.91168493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516034979.00270104</v>
      </c>
      <c r="G20" s="119">
        <f>$F$11*G19</f>
        <v>392324470.12051642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8</v>
      </c>
      <c r="C21" s="95">
        <v>6</v>
      </c>
      <c r="E21" s="96" t="s">
        <v>76</v>
      </c>
      <c r="F21" s="120">
        <f>F20/F5</f>
        <v>1.044605220653241</v>
      </c>
      <c r="G21" s="121">
        <f>G20/F6</f>
        <v>1.1505116425821595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2513.2741228718346</v>
      </c>
      <c r="C22" s="123">
        <f>C20^2*PI()/4*C21</f>
        <v>1884.9555921538758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291000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32472.214244774077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106.84450377426158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315.17884200969706</v>
      </c>
      <c r="C29" s="104" t="s">
        <v>36</v>
      </c>
      <c r="D29" s="104"/>
      <c r="E29" s="105" t="s">
        <v>178</v>
      </c>
      <c r="F29" s="128">
        <f>MIN(B29,F28)</f>
        <v>106.84450377426158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150.84797273241287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3868714788.9044271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0.55047731113592113</v>
      </c>
      <c r="D38" s="118">
        <f>$B$34/F10</f>
        <v>0.42999548454768177</v>
      </c>
      <c r="E38" s="118">
        <f>B34/F8</f>
        <v>1.9646345414678565</v>
      </c>
      <c r="F38" s="118">
        <f>B34/(F7+0.5*F8)</f>
        <v>0.48283391273362575</v>
      </c>
      <c r="G38" s="119">
        <f>MAX($B$34,($F$7+0.5*$F$8))</f>
        <v>236000000</v>
      </c>
    </row>
    <row r="39" spans="1:7" ht="18" customHeight="1" x14ac:dyDescent="0.45">
      <c r="A39" s="189" t="s">
        <v>193</v>
      </c>
      <c r="B39" s="190"/>
      <c r="C39" s="118">
        <f>C38^3*$B$32+(1-C38^3)*$B$36</f>
        <v>5182422229.1861115</v>
      </c>
      <c r="D39" s="118">
        <f>D38^3*$B$32+(1-D38^3)*$B$36</f>
        <v>4494855690.3189573</v>
      </c>
      <c r="E39" s="118">
        <f>$B$32*($B$34/E38)^3+(1-($B$34/E38)^3)*$B$36</f>
        <v>1.5366125284900794E+33</v>
      </c>
      <c r="F39" s="118">
        <f>$B$32*($B$34/F38)^3+(1-($B$34/F38)^3)*$B$36</f>
        <v>1.0351812521670065E+35</v>
      </c>
      <c r="G39" s="119">
        <f>$B$32*($B$34/G38)^3+(1-($B$34/G38)^3)*$B$36</f>
        <v>4755204474.778347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13.091603769951504</v>
      </c>
      <c r="D40" s="110">
        <f>(5/48)*$F$10*$B$10^2/($F$31*$C$39)</f>
        <v>16.759782604044197</v>
      </c>
      <c r="E40" s="110">
        <f>D40-C40</f>
        <v>3.6681788340926929</v>
      </c>
      <c r="F40" s="110">
        <f>(5/48)*(F7+0.5*F8)*$B$10^2/($F$31*$C$39)</f>
        <v>14.925693186997853</v>
      </c>
      <c r="G40" s="112">
        <f>F40-C40</f>
        <v>1.8340894170463482</v>
      </c>
    </row>
    <row r="41" spans="1:7" ht="18" customHeight="1" x14ac:dyDescent="0.45">
      <c r="A41" s="94" t="s">
        <v>195</v>
      </c>
      <c r="B41" s="110">
        <f>E40+(C40*F34)+(G40*F35)</f>
        <v>33.152747324679126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sheetPr codeName="Sheet79"/>
  <dimension ref="A1:R51"/>
  <sheetViews>
    <sheetView topLeftCell="A40" zoomScaleNormal="100" zoomScalePageLayoutView="115" workbookViewId="0">
      <selection activeCell="G42" sqref="A3:G42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230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1518*10^6</f>
        <v>1518000000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1188*10^6</f>
        <v>1188000000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390</v>
      </c>
      <c r="C7" s="85" t="s">
        <v>5</v>
      </c>
      <c r="E7" s="96" t="s">
        <v>130</v>
      </c>
      <c r="F7" s="95">
        <f>394*10^6</f>
        <v>394000000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447*10^6</f>
        <v>447000000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940*10^3</f>
        <v>940000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99">
        <f>F7+F8</f>
        <v>841000000</v>
      </c>
      <c r="G10" s="97" t="s">
        <v>123</v>
      </c>
      <c r="J10" s="85" t="s">
        <v>140</v>
      </c>
      <c r="K10" s="85">
        <f>B8*B12</f>
        <v>480800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601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5.8370085723276883</v>
      </c>
      <c r="C15" s="110">
        <f>$F$6/($F$11*B8*B12^2)</f>
        <v>4.56809366529993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1.723936050457462E-2</v>
      </c>
      <c r="C16" s="114">
        <f>0.85*$B$5/$B$6*(1-SQRT(1-(2*C15/(0.85*$B$5))))</f>
        <v>1.3006757525748605E-2</v>
      </c>
      <c r="E16" s="96" t="s">
        <v>151</v>
      </c>
      <c r="F16" s="110">
        <f>B22*$B$6/(0.85*$B$5*$B$8)</f>
        <v>188.347719561101</v>
      </c>
      <c r="G16" s="112">
        <f>C22*$B$6/(0.85*$B$5*$B$8)</f>
        <v>211.89118450623863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221.58555242482473</v>
      </c>
      <c r="G17" s="112">
        <f>G16/G15</f>
        <v>249.28374647792782</v>
      </c>
    </row>
    <row r="18" spans="1:18" ht="18" customHeight="1" x14ac:dyDescent="0.45">
      <c r="A18" s="94" t="s">
        <v>154</v>
      </c>
      <c r="B18" s="113">
        <f>MAX(B16:B17)</f>
        <v>1.723936050457462E-2</v>
      </c>
      <c r="C18" s="114">
        <f>MAX(C16:C17)</f>
        <v>1.3006757525748605E-2</v>
      </c>
      <c r="E18" s="96" t="s">
        <v>155</v>
      </c>
      <c r="F18" s="115">
        <f>0.003*($B$12-F17)/F17</f>
        <v>5.1368120812465296E-3</v>
      </c>
      <c r="G18" s="116">
        <f>0.003*($B$12-G17)/G17</f>
        <v>4.2327218499969149E-3</v>
      </c>
    </row>
    <row r="19" spans="1:18" ht="18" customHeight="1" x14ac:dyDescent="0.45">
      <c r="A19" s="94" t="s">
        <v>156</v>
      </c>
      <c r="B19" s="110">
        <f>$K$10*B18</f>
        <v>8288.6845305994775</v>
      </c>
      <c r="C19" s="117">
        <f>$K$10*C18</f>
        <v>6253.6490183799297</v>
      </c>
      <c r="E19" s="96" t="s">
        <v>157</v>
      </c>
      <c r="F19" s="118">
        <f>B22*$B$6*($B$12-F16/2)</f>
        <v>1947374773.5754776</v>
      </c>
      <c r="G19" s="119">
        <f>C22*$B$6*($B$12-G16/2)</f>
        <v>2139912362.9914281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28</v>
      </c>
      <c r="C20" s="95">
        <v>28</v>
      </c>
      <c r="E20" s="96" t="s">
        <v>162</v>
      </c>
      <c r="F20" s="118">
        <f>$F$11*F19</f>
        <v>1752637296.2179298</v>
      </c>
      <c r="G20" s="119">
        <f>$F$11*G19</f>
        <v>1925921126.6922853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16</v>
      </c>
      <c r="C21" s="95">
        <v>18</v>
      </c>
      <c r="E21" s="96" t="s">
        <v>76</v>
      </c>
      <c r="F21" s="120">
        <f>F20/F5</f>
        <v>1.1545700238589789</v>
      </c>
      <c r="G21" s="121">
        <f>G20/F6</f>
        <v>1.6211457295389606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9852.0345616575905</v>
      </c>
      <c r="C22" s="123">
        <f>C20^2*PI()/4*C21</f>
        <v>11083.53888186479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335764.88220181694</v>
      </c>
      <c r="C24" s="85" t="s">
        <v>136</v>
      </c>
      <c r="E24" s="96" t="s">
        <v>169</v>
      </c>
      <c r="F24" s="99">
        <f>F9</f>
        <v>940000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167882.44110090847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604235.11779818311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10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8*B27^2*PI()/4</f>
        <v>628.31853071795865</v>
      </c>
      <c r="C28" s="85" t="s">
        <v>175</v>
      </c>
      <c r="E28" s="96" t="s">
        <v>176</v>
      </c>
      <c r="F28" s="111">
        <f>MIN((B28*B7/(B8*0.062*SQRT(B5))),(B28*B7/(0.345*B8)),B12/2,600)</f>
        <v>300.5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182.79918206960079</v>
      </c>
      <c r="C29" s="104" t="s">
        <v>36</v>
      </c>
      <c r="D29" s="104"/>
      <c r="E29" s="105" t="s">
        <v>178</v>
      </c>
      <c r="F29" s="128">
        <f>MIN(B29,F28)</f>
        <v>182.79918206960079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14472120066.666664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140415945.75916088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267.81623475608217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14681583707.319229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0.3563856491349261</v>
      </c>
      <c r="D38" s="118">
        <f>$B$34/F10</f>
        <v>0.16696307462444812</v>
      </c>
      <c r="E38" s="118">
        <f>B34/F8</f>
        <v>0.31412963257082971</v>
      </c>
      <c r="F38" s="118">
        <f>B34/(F7+0.5*F8)</f>
        <v>0.22739424414439008</v>
      </c>
      <c r="G38" s="119">
        <f>MAX($B$34,($F$7+0.5*$F$8))</f>
        <v>617500000</v>
      </c>
    </row>
    <row r="39" spans="1:7" ht="18" customHeight="1" x14ac:dyDescent="0.45">
      <c r="A39" s="189" t="s">
        <v>193</v>
      </c>
      <c r="B39" s="190"/>
      <c r="C39" s="118">
        <f>C38^3*$B$32+(1-C38^3)*$B$36</f>
        <v>14672102377.144508</v>
      </c>
      <c r="D39" s="118">
        <f>D38^3*$B$32+(1-D38^3)*$B$36</f>
        <v>14680608785.144356</v>
      </c>
      <c r="E39" s="118">
        <f>$B$32*($B$34/E38)^3+(1-($B$34/E38)^3)*$B$36</f>
        <v>-1.870816609709133E+34</v>
      </c>
      <c r="F39" s="118">
        <f>$B$32*($B$34/F38)^3+(1-($B$34/F38)^3)*$B$36</f>
        <v>-4.9319598615396019E+34</v>
      </c>
      <c r="G39" s="119">
        <f>$B$32*($B$34/G38)^3+(1-($B$34/G38)^3)*$B$36</f>
        <v>14679120805.779474</v>
      </c>
    </row>
    <row r="40" spans="1:7" ht="18" customHeight="1" x14ac:dyDescent="0.45">
      <c r="A40" s="189" t="s">
        <v>194</v>
      </c>
      <c r="B40" s="190"/>
      <c r="C40" s="110">
        <f>(5/48)*$F$7*$B$10^2/($F$31*$C$39)</f>
        <v>8.8015502675637656</v>
      </c>
      <c r="D40" s="110">
        <f>(5/48)*$F$10*$B$10^2/($F$31*$C$39)</f>
        <v>18.787065418835343</v>
      </c>
      <c r="E40" s="110">
        <f>D40-C40</f>
        <v>9.9855151512715778</v>
      </c>
      <c r="F40" s="110">
        <f>(5/48)*(F7+0.5*F8)*$B$10^2/($F$31*$C$39)</f>
        <v>13.794307843199553</v>
      </c>
      <c r="G40" s="112">
        <f>F40-C40</f>
        <v>4.9927575756357871</v>
      </c>
    </row>
    <row r="41" spans="1:7" ht="18" customHeight="1" x14ac:dyDescent="0.45">
      <c r="A41" s="94" t="s">
        <v>195</v>
      </c>
      <c r="B41" s="110">
        <f>E40+(C40*F34)+(G40*F35)</f>
        <v>36.575579322543526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sheetPr codeName="Sheet80"/>
  <dimension ref="A1:R51"/>
  <sheetViews>
    <sheetView topLeftCell="A16" zoomScaleNormal="100" zoomScalePageLayoutView="70" workbookViewId="0">
      <selection activeCell="C43" sqref="C43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231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879*10^6</f>
        <v>879000000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548*10^6</f>
        <v>548000000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323*10^6</f>
        <v>323000000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800</v>
      </c>
      <c r="C8" s="98" t="s">
        <v>36</v>
      </c>
      <c r="E8" s="96" t="s">
        <v>132</v>
      </c>
      <c r="F8" s="95">
        <f>100*10^6</f>
        <v>100000000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532*10^3</f>
        <v>532000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99">
        <f>F7+F8</f>
        <v>423000000</v>
      </c>
      <c r="G10" s="97" t="s">
        <v>123</v>
      </c>
      <c r="J10" s="85" t="s">
        <v>140</v>
      </c>
      <c r="K10" s="85">
        <f>B8*B12</f>
        <v>493600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3.2069046737187925</v>
      </c>
      <c r="C15" s="110">
        <f>$F$6/($F$11*B8*B12^2)</f>
        <v>1.9992989319657546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8.817359408614148E-3</v>
      </c>
      <c r="C16" s="114">
        <f>0.85*$B$5/$B$6*(1-SQRT(1-(2*C15/(0.85*$B$5))))</f>
        <v>5.3448655410841435E-3</v>
      </c>
      <c r="E16" s="96" t="s">
        <v>151</v>
      </c>
      <c r="F16" s="110">
        <f>B22*$B$6/(0.85*$B$5*$B$8)</f>
        <v>96.095775286276037</v>
      </c>
      <c r="G16" s="112">
        <f>C22*$B$6/(0.85*$B$5*$B$8)</f>
        <v>96.095775286276037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113.05385327797181</v>
      </c>
      <c r="G17" s="112">
        <f>G16/G15</f>
        <v>113.05385327797181</v>
      </c>
    </row>
    <row r="18" spans="1:18" ht="18" customHeight="1" x14ac:dyDescent="0.45">
      <c r="A18" s="94" t="s">
        <v>154</v>
      </c>
      <c r="B18" s="113">
        <f>MAX(B16:B17)</f>
        <v>8.817359408614148E-3</v>
      </c>
      <c r="C18" s="114">
        <f>MAX(C16:C17)</f>
        <v>5.3448655410841435E-3</v>
      </c>
      <c r="E18" s="96" t="s">
        <v>155</v>
      </c>
      <c r="F18" s="115">
        <f>0.003*($B$12-F17)/F17</f>
        <v>1.337272809666065E-2</v>
      </c>
      <c r="G18" s="116">
        <f>0.003*($B$12-G17)/G17</f>
        <v>1.337272809666065E-2</v>
      </c>
    </row>
    <row r="19" spans="1:18" ht="18" customHeight="1" x14ac:dyDescent="0.45">
      <c r="A19" s="94" t="s">
        <v>156</v>
      </c>
      <c r="B19" s="110">
        <f>$K$10*B18</f>
        <v>4352.2486040919439</v>
      </c>
      <c r="C19" s="117">
        <f>$K$10*C18</f>
        <v>2638.2256310791331</v>
      </c>
      <c r="E19" s="96" t="s">
        <v>157</v>
      </c>
      <c r="F19" s="118">
        <f>B22*$B$6*($B$12-F16/2)</f>
        <v>1115347444.4890206</v>
      </c>
      <c r="G19" s="119">
        <f>C22*$B$6*($B$12-G16/2)</f>
        <v>1115347444.4890206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1003812700.0401186</v>
      </c>
      <c r="G20" s="119">
        <f>$F$11*G19</f>
        <v>1003812700.0401186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16</v>
      </c>
      <c r="C21" s="95">
        <v>16</v>
      </c>
      <c r="E21" s="96" t="s">
        <v>76</v>
      </c>
      <c r="F21" s="120">
        <f>F20/F5</f>
        <v>1.141993970466574</v>
      </c>
      <c r="G21" s="121">
        <f>G20/F6</f>
        <v>1.8317750000732091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5026.5482457436692</v>
      </c>
      <c r="C22" s="123">
        <f>C20^2*PI()/4*C21</f>
        <v>5026.5482457436692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344703.71434030123</v>
      </c>
      <c r="C24" s="85" t="s">
        <v>136</v>
      </c>
      <c r="E24" s="96" t="s">
        <v>169</v>
      </c>
      <c r="F24" s="99">
        <f>F9</f>
        <v>532000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172351.85717015062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187296.28565969877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8*B27^2*PI()/4</f>
        <v>402.12385965949352</v>
      </c>
      <c r="C28" s="85" t="s">
        <v>175</v>
      </c>
      <c r="E28" s="96" t="s">
        <v>176</v>
      </c>
      <c r="F28" s="111">
        <f>MIN((B28*B7/(B8*0.062*SQRT(B5))),(B28*B7/(0.345*B8)),B12/2,600)</f>
        <v>308.5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218.57464705421845</v>
      </c>
      <c r="C29" s="104" t="s">
        <v>36</v>
      </c>
      <c r="D29" s="104"/>
      <c r="E29" s="105" t="s">
        <v>178</v>
      </c>
      <c r="F29" s="128">
        <f>MIN(B29,F28)</f>
        <v>218.57464705421845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15659007533.333332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151931737.87351421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201.42575473498579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8923610445.7101784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0.47037689744122047</v>
      </c>
      <c r="D38" s="118">
        <f>$B$34/F10</f>
        <v>0.35917668528017543</v>
      </c>
      <c r="E38" s="118">
        <f>B34/F8</f>
        <v>1.5193173787351419</v>
      </c>
      <c r="F38" s="118">
        <f>B34/(F7+0.5*F8)</f>
        <v>0.40732369403086921</v>
      </c>
      <c r="G38" s="119">
        <f>MAX($B$34,($F$7+0.5*$F$8))</f>
        <v>373000000</v>
      </c>
    </row>
    <row r="39" spans="1:7" ht="18" customHeight="1" x14ac:dyDescent="0.45">
      <c r="A39" s="189" t="s">
        <v>193</v>
      </c>
      <c r="B39" s="190"/>
      <c r="C39" s="118">
        <f>C38^3*$B$32+(1-C38^3)*$B$36</f>
        <v>9624583226.6391373</v>
      </c>
      <c r="D39" s="118">
        <f>D38^3*$B$32+(1-D38^3)*$B$36</f>
        <v>9235706026.5976601</v>
      </c>
      <c r="E39" s="118">
        <f>$B$32*($B$34/E38)^3+(1-($B$34/E38)^3)*$B$36</f>
        <v>6.7353970876231524E+33</v>
      </c>
      <c r="F39" s="118">
        <f>$B$32*($B$34/F38)^3+(1-($B$34/F38)^3)*$B$36</f>
        <v>3.495342199036629E+35</v>
      </c>
      <c r="G39" s="119">
        <f>$B$32*($B$34/G38)^3+(1-($B$34/G38)^3)*$B$36</f>
        <v>9378789454.7771893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10.999574626871958</v>
      </c>
      <c r="D40" s="110">
        <f>(5/48)*$F$10*$B$10^2/($F$31*$C$39)</f>
        <v>14.405015687823029</v>
      </c>
      <c r="E40" s="110">
        <f>D40-C40</f>
        <v>3.4054410609510715</v>
      </c>
      <c r="F40" s="110">
        <f>(5/48)*(F7+0.5*F8)*$B$10^2/($F$31*$C$39)</f>
        <v>12.702295157347496</v>
      </c>
      <c r="G40" s="112">
        <f>F40-C40</f>
        <v>1.7027205304755384</v>
      </c>
    </row>
    <row r="41" spans="1:7" ht="18" customHeight="1" x14ac:dyDescent="0.45">
      <c r="A41" s="94" t="s">
        <v>195</v>
      </c>
      <c r="B41" s="110">
        <f>E40+(C40*F34)+(G40*F35)</f>
        <v>28.469487269550953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:R51"/>
  <sheetViews>
    <sheetView zoomScaleNormal="100" zoomScalePageLayoutView="70" workbookViewId="0">
      <selection activeCell="B8" sqref="B8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143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143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231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25</v>
      </c>
      <c r="C5" s="90" t="s">
        <v>5</v>
      </c>
      <c r="D5" s="90"/>
      <c r="E5" s="91" t="s">
        <v>122</v>
      </c>
      <c r="F5" s="89">
        <f>879*10^6</f>
        <v>879000000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548*10^6</f>
        <v>548000000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323*10^6</f>
        <v>323000000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300</v>
      </c>
      <c r="C8" s="98" t="s">
        <v>36</v>
      </c>
      <c r="E8" s="96" t="s">
        <v>132</v>
      </c>
      <c r="F8" s="95">
        <f>100*10^6</f>
        <v>100000000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600</v>
      </c>
      <c r="C9" s="98" t="s">
        <v>36</v>
      </c>
      <c r="E9" s="96" t="s">
        <v>135</v>
      </c>
      <c r="F9" s="95">
        <v>110000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143">
        <f>F7+F8</f>
        <v>423000000</v>
      </c>
      <c r="G10" s="97" t="s">
        <v>123</v>
      </c>
      <c r="J10" s="85" t="s">
        <v>140</v>
      </c>
      <c r="K10" s="85">
        <f>B8*B12</f>
        <v>155100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517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143"/>
      <c r="N13" s="143"/>
      <c r="O13" s="143"/>
      <c r="P13" s="143"/>
      <c r="Q13" s="143"/>
    </row>
    <row r="14" spans="1:17" ht="18" customHeight="1" x14ac:dyDescent="0.45">
      <c r="A14" s="108"/>
      <c r="B14" s="143" t="s">
        <v>146</v>
      </c>
      <c r="C14" s="143" t="s">
        <v>147</v>
      </c>
      <c r="F14" s="143" t="s">
        <v>146</v>
      </c>
      <c r="G14" s="109" t="s">
        <v>147</v>
      </c>
      <c r="H14" s="143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12.179908471936951</v>
      </c>
      <c r="C15" s="110">
        <f>$F$6/($F$11*B8*B12^2)</f>
        <v>7.5933900371120009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143"/>
      <c r="N15" s="110"/>
      <c r="O15" s="110"/>
      <c r="P15" s="111"/>
    </row>
    <row r="16" spans="1:17" ht="18" customHeight="1" x14ac:dyDescent="0.45">
      <c r="A16" s="94" t="s">
        <v>150</v>
      </c>
      <c r="B16" s="113" t="e">
        <f>0.85*$B$5/$B$6*(1-SQRT(1-(2*B15/(0.85*$B$5))))</f>
        <v>#NUM!</v>
      </c>
      <c r="C16" s="114">
        <f>0.85*$B$5/$B$6*(1-SQRT(1-(2*C15/(0.85*$B$5))))</f>
        <v>2.5382252053178535E-2</v>
      </c>
      <c r="E16" s="96" t="s">
        <v>151</v>
      </c>
      <c r="F16" s="110">
        <f>B22*$B$6/(0.85*$B$5*$B$8)</f>
        <v>307.50648091608332</v>
      </c>
      <c r="G16" s="112">
        <f>C22*$B$6/(0.85*$B$5*$B$8)</f>
        <v>307.50648091608332</v>
      </c>
      <c r="H16" s="143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361.77233048950978</v>
      </c>
      <c r="G17" s="112">
        <f>G16/G15</f>
        <v>361.77233048950978</v>
      </c>
    </row>
    <row r="18" spans="1:18" ht="18" customHeight="1" x14ac:dyDescent="0.45">
      <c r="A18" s="94" t="s">
        <v>154</v>
      </c>
      <c r="B18" s="113" t="e">
        <f>MAX(B16:B17)</f>
        <v>#NUM!</v>
      </c>
      <c r="C18" s="114">
        <f>MAX(C16:C17)</f>
        <v>2.5382252053178535E-2</v>
      </c>
      <c r="E18" s="96" t="s">
        <v>155</v>
      </c>
      <c r="F18" s="115">
        <f>0.003*($B$12-F17)/F17</f>
        <v>1.2872267149379849E-3</v>
      </c>
      <c r="G18" s="116">
        <f>0.003*($B$12-G17)/G17</f>
        <v>1.2872267149379849E-3</v>
      </c>
    </row>
    <row r="19" spans="1:18" ht="18" customHeight="1" x14ac:dyDescent="0.45">
      <c r="A19" s="94" t="s">
        <v>156</v>
      </c>
      <c r="B19" s="110" t="e">
        <f>$K$10*B18</f>
        <v>#NUM!</v>
      </c>
      <c r="C19" s="117">
        <f>$K$10*C18</f>
        <v>3936.787293447991</v>
      </c>
      <c r="E19" s="96" t="s">
        <v>157</v>
      </c>
      <c r="F19" s="118">
        <f>B22*$B$6*($B$12-F16/2)</f>
        <v>712092171.15960419</v>
      </c>
      <c r="G19" s="119">
        <f>C22*$B$6*($B$12-G16/2)</f>
        <v>712092171.15960419</v>
      </c>
      <c r="H19" s="143"/>
      <c r="I19" s="143" t="s">
        <v>158</v>
      </c>
      <c r="J19" s="143" t="s">
        <v>159</v>
      </c>
      <c r="K19" s="143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640882954.04364383</v>
      </c>
      <c r="G20" s="119">
        <f>$F$11*G19</f>
        <v>640882954.04364383</v>
      </c>
      <c r="H20" s="143" t="s">
        <v>163</v>
      </c>
      <c r="I20" s="143">
        <v>45</v>
      </c>
      <c r="J20" s="143">
        <v>65</v>
      </c>
      <c r="K20" s="143">
        <v>85</v>
      </c>
    </row>
    <row r="21" spans="1:18" ht="18" customHeight="1" x14ac:dyDescent="0.45">
      <c r="A21" s="94" t="s">
        <v>164</v>
      </c>
      <c r="B21" s="95">
        <v>16</v>
      </c>
      <c r="C21" s="95">
        <v>16</v>
      </c>
      <c r="E21" s="96" t="s">
        <v>76</v>
      </c>
      <c r="F21" s="120">
        <f>F20/F5</f>
        <v>0.72910461210880984</v>
      </c>
      <c r="G21" s="121">
        <f>G20/F6</f>
        <v>1.1694944416854816</v>
      </c>
      <c r="H21" s="143" t="s">
        <v>165</v>
      </c>
      <c r="I21" s="143">
        <v>30</v>
      </c>
      <c r="J21" s="143">
        <v>45</v>
      </c>
      <c r="K21" s="143"/>
    </row>
    <row r="22" spans="1:18" ht="18" customHeight="1" x14ac:dyDescent="0.45">
      <c r="A22" s="101" t="s">
        <v>166</v>
      </c>
      <c r="B22" s="122">
        <f>B20^2*PI()/4*B21</f>
        <v>5026.5482457436692</v>
      </c>
      <c r="C22" s="123">
        <f>C20^2*PI()/4*C21</f>
        <v>5026.5482457436692</v>
      </c>
      <c r="D22" s="104"/>
      <c r="E22" s="104"/>
      <c r="F22" s="124" t="str">
        <f>IF(F21&gt;1,"OK","NO")</f>
        <v>NO</v>
      </c>
      <c r="G22" s="125" t="str">
        <f>IF(G21&gt;1,"OK","NO")</f>
        <v>OK</v>
      </c>
      <c r="H22" s="143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98876.25</v>
      </c>
      <c r="C24" s="85" t="s">
        <v>136</v>
      </c>
      <c r="E24" s="96" t="s">
        <v>169</v>
      </c>
      <c r="F24" s="143">
        <f>F9</f>
        <v>110000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49438.125</v>
      </c>
      <c r="C25" s="85" t="s">
        <v>136</v>
      </c>
      <c r="D25" s="143" t="str">
        <f>IF(B25&gt;F24,"&gt;","&lt;")</f>
        <v>&lt;</v>
      </c>
      <c r="E25" s="143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11123.75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143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213.68900754852316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770.94450720874465</v>
      </c>
      <c r="C29" s="104" t="s">
        <v>36</v>
      </c>
      <c r="D29" s="104"/>
      <c r="E29" s="105" t="s">
        <v>178</v>
      </c>
      <c r="F29" s="128">
        <f>MIN(B29,F28)</f>
        <v>213.68900754852316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143"/>
      <c r="Q30" s="127"/>
    </row>
    <row r="31" spans="1:18" ht="18" customHeight="1" x14ac:dyDescent="0.45">
      <c r="A31" s="94" t="s">
        <v>180</v>
      </c>
      <c r="B31" s="143">
        <v>200000</v>
      </c>
      <c r="C31" s="85" t="s">
        <v>5</v>
      </c>
      <c r="E31" s="96" t="s">
        <v>181</v>
      </c>
      <c r="F31" s="110">
        <f>4700*SQRT($B$5)</f>
        <v>23500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3454710325</v>
      </c>
      <c r="C32" s="85" t="s">
        <v>182</v>
      </c>
      <c r="E32" s="96" t="s">
        <v>83</v>
      </c>
      <c r="F32" s="110">
        <f>0.62*SQRT($B$5)</f>
        <v>3.1</v>
      </c>
      <c r="G32" s="97"/>
    </row>
    <row r="33" spans="1:7" ht="18" customHeight="1" x14ac:dyDescent="0.45">
      <c r="A33" s="94" t="s">
        <v>85</v>
      </c>
      <c r="B33" s="110">
        <f>$B$9/2</f>
        <v>300</v>
      </c>
      <c r="C33" s="85" t="s">
        <v>36</v>
      </c>
      <c r="E33" s="96" t="s">
        <v>90</v>
      </c>
      <c r="F33" s="110">
        <f>B31/F31</f>
        <v>8.5106382978723403</v>
      </c>
      <c r="G33" s="97"/>
    </row>
    <row r="34" spans="1:7" ht="18" customHeight="1" x14ac:dyDescent="0.45">
      <c r="A34" s="94" t="s">
        <v>87</v>
      </c>
      <c r="B34" s="118">
        <f>F32*B32/B33</f>
        <v>35698673.358333334</v>
      </c>
      <c r="C34" s="85" t="s">
        <v>123</v>
      </c>
      <c r="E34" s="96" t="s">
        <v>183</v>
      </c>
      <c r="F34" s="143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267.01166578182944</v>
      </c>
      <c r="C35" s="85" t="s">
        <v>36</v>
      </c>
      <c r="E35" s="96" t="s">
        <v>185</v>
      </c>
      <c r="F35" s="143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4577112158.6725721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143" t="s">
        <v>187</v>
      </c>
      <c r="D37" s="143" t="s">
        <v>188</v>
      </c>
      <c r="E37" s="143" t="s">
        <v>189</v>
      </c>
      <c r="F37" s="143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0.11052220853973169</v>
      </c>
      <c r="D38" s="118">
        <f>$B$34/F10</f>
        <v>8.439402685185185E-2</v>
      </c>
      <c r="E38" s="118">
        <f>B34/F8</f>
        <v>0.35698673358333333</v>
      </c>
      <c r="F38" s="118">
        <f>B34/(F7+0.5*F8)</f>
        <v>9.570689908400358E-2</v>
      </c>
      <c r="G38" s="119">
        <f>MAX($B$34,($F$7+0.5*$F$8))</f>
        <v>373000000</v>
      </c>
    </row>
    <row r="39" spans="1:7" ht="18" customHeight="1" x14ac:dyDescent="0.45">
      <c r="A39" s="189" t="s">
        <v>193</v>
      </c>
      <c r="B39" s="190"/>
      <c r="C39" s="118">
        <f>C38^3*$B$32+(1-C38^3)*$B$36</f>
        <v>4575596864.2254419</v>
      </c>
      <c r="D39" s="118">
        <f>D38^3*$B$32+(1-D38^3)*$B$36</f>
        <v>4576437500.9489651</v>
      </c>
      <c r="E39" s="118">
        <f>$B$32*($B$34/E38)^3+(1-($B$34/E38)^3)*$B$36</f>
        <v>-1.1224018336725719E+33</v>
      </c>
      <c r="F39" s="118">
        <f>$B$32*($B$34/F38)^3+(1-($B$34/F38)^3)*$B$36</f>
        <v>-5.8247174479452692E+34</v>
      </c>
      <c r="G39" s="119">
        <f>$B$32*($B$34/G38)^3+(1-($B$34/G38)^3)*$B$36</f>
        <v>4576128197.1784115</v>
      </c>
    </row>
    <row r="40" spans="1:7" ht="18" customHeight="1" x14ac:dyDescent="0.45">
      <c r="A40" s="189" t="s">
        <v>194</v>
      </c>
      <c r="B40" s="190"/>
      <c r="C40" s="110">
        <f>(5/48)*$F$7*$B$10^2/($F$31*$C$39)</f>
        <v>25.345490025044551</v>
      </c>
      <c r="D40" s="110">
        <f>(5/48)*$F$10*$B$10^2/($F$31*$C$39)</f>
        <v>33.192390961590853</v>
      </c>
      <c r="E40" s="110">
        <f>D40-C40</f>
        <v>7.8469009365463016</v>
      </c>
      <c r="F40" s="110">
        <f>(5/48)*(F7+0.5*F8)*$B$10^2/($F$31*$C$39)</f>
        <v>29.268940493317704</v>
      </c>
      <c r="G40" s="112">
        <f>F40-C40</f>
        <v>3.9234504682731526</v>
      </c>
    </row>
    <row r="41" spans="1:7" ht="18" customHeight="1" x14ac:dyDescent="0.45">
      <c r="A41" s="94" t="s">
        <v>195</v>
      </c>
      <c r="B41" s="110">
        <f>E40+(C40*F34)+(G40*F35)</f>
        <v>65.600091829527074</v>
      </c>
      <c r="C41" s="85" t="s">
        <v>36</v>
      </c>
      <c r="D41" s="191" t="str">
        <f>IF(B42&gt;B41,"OK","NO")</f>
        <v>NO</v>
      </c>
      <c r="G41" s="97"/>
    </row>
    <row r="42" spans="1:7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143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:R51"/>
  <sheetViews>
    <sheetView tabSelected="1" zoomScale="85" zoomScaleNormal="100" zoomScalePageLayoutView="70" workbookViewId="0">
      <selection activeCell="A13" sqref="A13:D13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143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143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231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25</v>
      </c>
      <c r="C5" s="90" t="s">
        <v>5</v>
      </c>
      <c r="D5" s="90"/>
      <c r="E5" s="91" t="s">
        <v>122</v>
      </c>
      <c r="F5" s="89">
        <f>879*10^6</f>
        <v>879000000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548*10^6</f>
        <v>548000000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323*10^6</f>
        <v>323000000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500</v>
      </c>
      <c r="C8" s="98" t="s">
        <v>36</v>
      </c>
      <c r="E8" s="96" t="s">
        <v>132</v>
      </c>
      <c r="F8" s="95">
        <f>100*10^6</f>
        <v>100000000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900</v>
      </c>
      <c r="C9" s="98" t="s">
        <v>36</v>
      </c>
      <c r="E9" s="96" t="s">
        <v>135</v>
      </c>
      <c r="F9" s="95">
        <v>385000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9000</v>
      </c>
      <c r="C10" s="98" t="s">
        <v>36</v>
      </c>
      <c r="E10" s="96" t="s">
        <v>139</v>
      </c>
      <c r="F10" s="143">
        <f>F7+F8</f>
        <v>423000000</v>
      </c>
      <c r="G10" s="97" t="s">
        <v>123</v>
      </c>
      <c r="J10" s="85" t="s">
        <v>140</v>
      </c>
      <c r="K10" s="85">
        <f>B8*B12</f>
        <v>425000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v>850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143"/>
      <c r="N13" s="143"/>
      <c r="O13" s="143"/>
      <c r="P13" s="143"/>
      <c r="Q13" s="143"/>
    </row>
    <row r="14" spans="1:17" ht="18" customHeight="1" x14ac:dyDescent="0.45">
      <c r="A14" s="108"/>
      <c r="B14" s="143" t="s">
        <v>146</v>
      </c>
      <c r="C14" s="143" t="s">
        <v>147</v>
      </c>
      <c r="F14" s="143" t="s">
        <v>146</v>
      </c>
      <c r="G14" s="109" t="s">
        <v>147</v>
      </c>
      <c r="H14" s="143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2.7035755478662051</v>
      </c>
      <c r="C15" s="110">
        <f>$F$6/($F$11*B8*B12^2)</f>
        <v>1.6855055747789311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143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7.44022662159917E-3</v>
      </c>
      <c r="C16" s="114">
        <f>0.85*$B$5/$B$6*(1-SQRT(1-(2*C15/(0.85*$B$5))))</f>
        <v>4.508320506777826E-3</v>
      </c>
      <c r="E16" s="96" t="s">
        <v>151</v>
      </c>
      <c r="F16" s="110">
        <f>B22*$B$6/(0.85*$B$5*$B$8)</f>
        <v>184.50388854964999</v>
      </c>
      <c r="G16" s="112">
        <f>C22*$B$6/(0.85*$B$5*$B$8)</f>
        <v>184.50388854964999</v>
      </c>
      <c r="H16" s="143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217.06339829370586</v>
      </c>
      <c r="G17" s="112">
        <f>G16/G15</f>
        <v>217.06339829370586</v>
      </c>
    </row>
    <row r="18" spans="1:18" ht="18" customHeight="1" x14ac:dyDescent="0.45">
      <c r="A18" s="94" t="s">
        <v>154</v>
      </c>
      <c r="B18" s="113">
        <f>MAX(B16:B17)</f>
        <v>7.44022662159917E-3</v>
      </c>
      <c r="C18" s="114">
        <f>MAX(C16:C17)</f>
        <v>4.508320506777826E-3</v>
      </c>
      <c r="E18" s="96" t="s">
        <v>155</v>
      </c>
      <c r="F18" s="115">
        <f>0.003*($B$12-F17)/F17</f>
        <v>8.7477198829699777E-3</v>
      </c>
      <c r="G18" s="116">
        <f>0.003*($B$12-G17)/G17</f>
        <v>8.7477198829699777E-3</v>
      </c>
    </row>
    <row r="19" spans="1:18" ht="18" customHeight="1" x14ac:dyDescent="0.45">
      <c r="A19" s="94" t="s">
        <v>156</v>
      </c>
      <c r="B19" s="110">
        <f>$K$10*B18</f>
        <v>3162.0963141796474</v>
      </c>
      <c r="C19" s="117">
        <f>$K$10*C18</f>
        <v>1916.0362153805761</v>
      </c>
      <c r="E19" s="96" t="s">
        <v>157</v>
      </c>
      <c r="F19" s="118">
        <f>B22*$B$6*($B$12-F16/2)</f>
        <v>1485454292.4862113</v>
      </c>
      <c r="G19" s="119">
        <f>C22*$B$6*($B$12-G16/2)</f>
        <v>1485454292.4862113</v>
      </c>
      <c r="H19" s="143"/>
      <c r="I19" s="143" t="s">
        <v>158</v>
      </c>
      <c r="J19" s="143" t="s">
        <v>159</v>
      </c>
      <c r="K19" s="143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1336908863.2375903</v>
      </c>
      <c r="G20" s="119">
        <f>$F$11*G19</f>
        <v>1336908863.2375903</v>
      </c>
      <c r="H20" s="143" t="s">
        <v>163</v>
      </c>
      <c r="I20" s="143">
        <v>45</v>
      </c>
      <c r="J20" s="143">
        <v>65</v>
      </c>
      <c r="K20" s="143">
        <v>85</v>
      </c>
    </row>
    <row r="21" spans="1:18" ht="18" customHeight="1" x14ac:dyDescent="0.45">
      <c r="A21" s="94" t="s">
        <v>164</v>
      </c>
      <c r="B21" s="95">
        <v>16</v>
      </c>
      <c r="C21" s="95">
        <v>16</v>
      </c>
      <c r="E21" s="96" t="s">
        <v>76</v>
      </c>
      <c r="F21" s="120">
        <f>F20/F5</f>
        <v>1.5209429615899777</v>
      </c>
      <c r="G21" s="121">
        <f>G20/F6</f>
        <v>2.4396147139372086</v>
      </c>
      <c r="H21" s="143" t="s">
        <v>165</v>
      </c>
      <c r="I21" s="143">
        <v>30</v>
      </c>
      <c r="J21" s="143">
        <v>45</v>
      </c>
      <c r="K21" s="143"/>
    </row>
    <row r="22" spans="1:18" ht="18" customHeight="1" x14ac:dyDescent="0.45">
      <c r="A22" s="101" t="s">
        <v>166</v>
      </c>
      <c r="B22" s="122">
        <f>B20^2*PI()/4*B21</f>
        <v>5026.5482457436692</v>
      </c>
      <c r="C22" s="123">
        <f>C20^2*PI()/4*C21</f>
        <v>5026.5482457436692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143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270937.5</v>
      </c>
      <c r="C24" s="85" t="s">
        <v>136</v>
      </c>
      <c r="E24" s="96" t="s">
        <v>169</v>
      </c>
      <c r="F24" s="143">
        <f>F9</f>
        <v>385000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135468.75</v>
      </c>
      <c r="C25" s="85" t="s">
        <v>136</v>
      </c>
      <c r="D25" s="143" t="str">
        <f>IF(B25&gt;F24,"&gt;","&lt;")</f>
        <v>&lt;</v>
      </c>
      <c r="E25" s="143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114062.5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143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2*B27^2*PI()/4</f>
        <v>100.53096491487338</v>
      </c>
      <c r="C28" s="85" t="s">
        <v>175</v>
      </c>
      <c r="E28" s="96" t="s">
        <v>176</v>
      </c>
      <c r="F28" s="111">
        <f>MIN((B28*B7/(B8*0.062*SQRT(B5))),(B28*B7/(0.345*B8)),B12/2,600)</f>
        <v>128.21340452911389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123.61177275012376</v>
      </c>
      <c r="C29" s="104" t="s">
        <v>36</v>
      </c>
      <c r="D29" s="104"/>
      <c r="E29" s="105" t="s">
        <v>178</v>
      </c>
      <c r="F29" s="128">
        <f>MIN(B29,F28)</f>
        <v>123.61177275012376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143"/>
      <c r="Q30" s="127"/>
    </row>
    <row r="31" spans="1:18" ht="18" customHeight="1" x14ac:dyDescent="0.45">
      <c r="A31" s="94" t="s">
        <v>180</v>
      </c>
      <c r="B31" s="143">
        <v>200000</v>
      </c>
      <c r="C31" s="85" t="s">
        <v>5</v>
      </c>
      <c r="E31" s="96" t="s">
        <v>181</v>
      </c>
      <c r="F31" s="110">
        <f>4700*SQRT($B$5)</f>
        <v>23500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25588541666.666664</v>
      </c>
      <c r="C32" s="85" t="s">
        <v>182</v>
      </c>
      <c r="E32" s="96" t="s">
        <v>83</v>
      </c>
      <c r="F32" s="110">
        <f>0.62*SQRT($B$5)</f>
        <v>3.1</v>
      </c>
      <c r="G32" s="97"/>
    </row>
    <row r="33" spans="1:7" ht="18" customHeight="1" x14ac:dyDescent="0.45">
      <c r="A33" s="94" t="s">
        <v>85</v>
      </c>
      <c r="B33" s="110">
        <f>$B$9/2</f>
        <v>450</v>
      </c>
      <c r="C33" s="85" t="s">
        <v>36</v>
      </c>
      <c r="E33" s="96" t="s">
        <v>90</v>
      </c>
      <c r="F33" s="110">
        <f>B31/F31</f>
        <v>8.5106382978723403</v>
      </c>
      <c r="G33" s="97"/>
    </row>
    <row r="34" spans="1:7" ht="18" customHeight="1" x14ac:dyDescent="0.45">
      <c r="A34" s="94" t="s">
        <v>87</v>
      </c>
      <c r="B34" s="118">
        <f>F32*B32/B33</f>
        <v>176276620.37037036</v>
      </c>
      <c r="C34" s="85" t="s">
        <v>123</v>
      </c>
      <c r="E34" s="96" t="s">
        <v>183</v>
      </c>
      <c r="F34" s="143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305.29883227700623</v>
      </c>
      <c r="C35" s="85" t="s">
        <v>36</v>
      </c>
      <c r="E35" s="96" t="s">
        <v>185</v>
      </c>
      <c r="F35" s="143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17435225664.098743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143" t="s">
        <v>187</v>
      </c>
      <c r="D37" s="143" t="s">
        <v>188</v>
      </c>
      <c r="E37" s="143" t="s">
        <v>189</v>
      </c>
      <c r="F37" s="143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0.54574805068226118</v>
      </c>
      <c r="D38" s="118">
        <f>$B$34/F10</f>
        <v>0.4167295989843271</v>
      </c>
      <c r="E38" s="118">
        <f>B34/F8</f>
        <v>1.7627662037037035</v>
      </c>
      <c r="F38" s="118">
        <f>B34/(F7+0.5*F8)</f>
        <v>0.47259147552378111</v>
      </c>
      <c r="G38" s="119">
        <f>MAX($B$34,($F$7+0.5*$F$8))</f>
        <v>373000000</v>
      </c>
    </row>
    <row r="39" spans="1:7" ht="18" customHeight="1" x14ac:dyDescent="0.45">
      <c r="A39" s="189" t="s">
        <v>193</v>
      </c>
      <c r="B39" s="190"/>
      <c r="C39" s="118">
        <f>C38^3*$B$32+(1-C38^3)*$B$36</f>
        <v>18760515460.600964</v>
      </c>
      <c r="D39" s="118">
        <f>D38^3*$B$32+(1-D38^3)*$B$36</f>
        <v>18025287218.750648</v>
      </c>
      <c r="E39" s="118">
        <f>$B$32*($B$34/E38)^3+(1-($B$34/E38)^3)*$B$36</f>
        <v>8.1533160025679177E+33</v>
      </c>
      <c r="F39" s="118">
        <f>$B$32*($B$34/F38)^3+(1-($B$34/F38)^3)*$B$36</f>
        <v>4.2311728789123448E+35</v>
      </c>
      <c r="G39" s="119">
        <f>$B$32*($B$34/G38)^3+(1-($B$34/G38)^3)*$B$36</f>
        <v>18295807005.786583</v>
      </c>
    </row>
    <row r="40" spans="1:7" ht="18" customHeight="1" x14ac:dyDescent="0.45">
      <c r="A40" s="189" t="s">
        <v>194</v>
      </c>
      <c r="B40" s="190"/>
      <c r="C40" s="110">
        <f>(5/48)*$F$7*$B$10^2/($F$31*$C$39)</f>
        <v>6.1816395676548286</v>
      </c>
      <c r="D40" s="110">
        <f>(5/48)*$F$10*$B$10^2/($F$31*$C$39)</f>
        <v>8.0954598672383664</v>
      </c>
      <c r="E40" s="110">
        <f>D40-C40</f>
        <v>1.9138202995835378</v>
      </c>
      <c r="F40" s="110">
        <f>(5/48)*(F7+0.5*F8)*$B$10^2/($F$31*$C$39)</f>
        <v>7.1385497174465993</v>
      </c>
      <c r="G40" s="112">
        <f>F40-C40</f>
        <v>0.95691014979177069</v>
      </c>
    </row>
    <row r="41" spans="1:7" ht="18" customHeight="1" x14ac:dyDescent="0.45">
      <c r="A41" s="94" t="s">
        <v>195</v>
      </c>
      <c r="B41" s="110">
        <f>E40+(C40*F34)+(G40*F35)</f>
        <v>15.999537704518382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37.5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143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>
    <tabColor rgb="FF00B050"/>
  </sheetPr>
  <dimension ref="A1:R51"/>
  <sheetViews>
    <sheetView view="pageLayout" topLeftCell="C4" zoomScale="70" zoomScaleNormal="100" zoomScalePageLayoutView="70" workbookViewId="0">
      <selection activeCell="F20" sqref="F20"/>
    </sheetView>
  </sheetViews>
  <sheetFormatPr defaultColWidth="9.1328125" defaultRowHeight="18" customHeight="1" x14ac:dyDescent="0.45"/>
  <cols>
    <col min="1" max="1" width="11.59765625" style="85" customWidth="1"/>
    <col min="2" max="2" width="12.1328125" style="99" customWidth="1"/>
    <col min="3" max="3" width="12.1328125" style="85" customWidth="1"/>
    <col min="4" max="4" width="10.1328125" style="85" customWidth="1"/>
    <col min="5" max="5" width="11.265625" style="85" customWidth="1"/>
    <col min="6" max="6" width="14.1328125" style="99" customWidth="1"/>
    <col min="7" max="7" width="15.86328125" style="85" customWidth="1"/>
    <col min="8" max="8" width="13" style="85" customWidth="1"/>
    <col min="9" max="9" width="16.265625" style="85" customWidth="1"/>
    <col min="10" max="10" width="14.265625" style="85" bestFit="1" customWidth="1"/>
    <col min="11" max="11" width="13.86328125" style="85" customWidth="1"/>
    <col min="12" max="12" width="16.59765625" style="85" bestFit="1" customWidth="1"/>
    <col min="13" max="13" width="15.1328125" style="85" customWidth="1"/>
    <col min="14" max="14" width="13.73046875" style="85" customWidth="1"/>
    <col min="15" max="15" width="12.3984375" style="85" customWidth="1"/>
    <col min="16" max="16" width="13.73046875" style="85" bestFit="1" customWidth="1"/>
    <col min="17" max="17" width="12.59765625" style="85" bestFit="1" customWidth="1"/>
    <col min="18" max="18" width="12.3984375" style="85" customWidth="1"/>
    <col min="19" max="19" width="13.73046875" style="85" customWidth="1"/>
    <col min="20" max="16384" width="9.1328125" style="85"/>
  </cols>
  <sheetData>
    <row r="1" spans="1:17" ht="18" customHeight="1" x14ac:dyDescent="0.45">
      <c r="A1" s="176" t="s">
        <v>112</v>
      </c>
      <c r="B1" s="177"/>
      <c r="C1" s="177"/>
      <c r="D1" s="177"/>
      <c r="E1" s="178" t="s">
        <v>113</v>
      </c>
      <c r="F1" s="178"/>
      <c r="G1" s="84" t="s">
        <v>114</v>
      </c>
    </row>
    <row r="2" spans="1:17" ht="18" customHeight="1" x14ac:dyDescent="0.45">
      <c r="A2" s="86" t="s">
        <v>115</v>
      </c>
      <c r="B2" s="180" t="s">
        <v>116</v>
      </c>
      <c r="C2" s="180"/>
      <c r="D2" s="180"/>
      <c r="E2" s="179"/>
      <c r="F2" s="179"/>
      <c r="G2" s="87" t="s">
        <v>117</v>
      </c>
    </row>
    <row r="3" spans="1:17" ht="18" customHeight="1" x14ac:dyDescent="0.45">
      <c r="A3" s="181" t="s">
        <v>197</v>
      </c>
      <c r="B3" s="182"/>
      <c r="C3" s="182"/>
      <c r="D3" s="182"/>
      <c r="E3" s="182"/>
      <c r="F3" s="182"/>
      <c r="G3" s="183"/>
    </row>
    <row r="4" spans="1:17" ht="18" customHeight="1" x14ac:dyDescent="0.45">
      <c r="A4" s="184" t="s">
        <v>119</v>
      </c>
      <c r="B4" s="185"/>
      <c r="C4" s="185"/>
      <c r="D4" s="185"/>
      <c r="E4" s="186" t="s">
        <v>120</v>
      </c>
      <c r="F4" s="187"/>
      <c r="G4" s="188"/>
    </row>
    <row r="5" spans="1:17" ht="18" customHeight="1" x14ac:dyDescent="0.45">
      <c r="A5" s="88" t="s">
        <v>121</v>
      </c>
      <c r="B5" s="89">
        <v>30</v>
      </c>
      <c r="C5" s="90" t="s">
        <v>5</v>
      </c>
      <c r="D5" s="90"/>
      <c r="E5" s="91" t="s">
        <v>122</v>
      </c>
      <c r="F5" s="89">
        <f>588*10^6</f>
        <v>588000000</v>
      </c>
      <c r="G5" s="92" t="s">
        <v>123</v>
      </c>
      <c r="H5" s="91" t="s">
        <v>122</v>
      </c>
      <c r="I5" s="85">
        <v>590</v>
      </c>
      <c r="J5" s="93" t="s">
        <v>124</v>
      </c>
    </row>
    <row r="6" spans="1:17" ht="18" customHeight="1" x14ac:dyDescent="0.45">
      <c r="A6" s="94" t="s">
        <v>125</v>
      </c>
      <c r="B6" s="95">
        <v>390</v>
      </c>
      <c r="C6" s="85" t="s">
        <v>5</v>
      </c>
      <c r="E6" s="96" t="s">
        <v>126</v>
      </c>
      <c r="F6" s="95">
        <f>398*10^6</f>
        <v>398000000</v>
      </c>
      <c r="G6" s="97" t="s">
        <v>123</v>
      </c>
      <c r="H6" s="96" t="s">
        <v>126</v>
      </c>
      <c r="I6" s="85">
        <v>290</v>
      </c>
      <c r="J6" s="193" t="s">
        <v>127</v>
      </c>
      <c r="K6" s="85" t="s">
        <v>128</v>
      </c>
      <c r="L6" s="85">
        <v>2</v>
      </c>
    </row>
    <row r="7" spans="1:17" ht="18" customHeight="1" x14ac:dyDescent="0.45">
      <c r="A7" s="94" t="s">
        <v>129</v>
      </c>
      <c r="B7" s="95">
        <v>220</v>
      </c>
      <c r="C7" s="85" t="s">
        <v>5</v>
      </c>
      <c r="E7" s="96" t="s">
        <v>130</v>
      </c>
      <c r="F7" s="95">
        <f>237*10^6</f>
        <v>237000000</v>
      </c>
      <c r="G7" s="97" t="s">
        <v>123</v>
      </c>
      <c r="H7" s="96" t="s">
        <v>130</v>
      </c>
      <c r="I7" s="85">
        <v>185</v>
      </c>
      <c r="J7" s="193"/>
    </row>
    <row r="8" spans="1:17" ht="18" customHeight="1" x14ac:dyDescent="0.45">
      <c r="A8" s="94" t="s">
        <v>131</v>
      </c>
      <c r="B8" s="95">
        <v>600</v>
      </c>
      <c r="C8" s="98" t="s">
        <v>36</v>
      </c>
      <c r="E8" s="96" t="s">
        <v>132</v>
      </c>
      <c r="F8" s="95">
        <f>71*10^6</f>
        <v>71000000</v>
      </c>
      <c r="G8" s="97" t="s">
        <v>123</v>
      </c>
      <c r="H8" s="96" t="s">
        <v>132</v>
      </c>
      <c r="I8" s="85">
        <v>57</v>
      </c>
      <c r="J8" s="193"/>
      <c r="K8" s="85" t="s">
        <v>133</v>
      </c>
      <c r="L8" s="85">
        <v>1.8</v>
      </c>
    </row>
    <row r="9" spans="1:17" ht="18" customHeight="1" x14ac:dyDescent="0.45">
      <c r="A9" s="94" t="s">
        <v>134</v>
      </c>
      <c r="B9" s="95">
        <v>700</v>
      </c>
      <c r="C9" s="98" t="s">
        <v>36</v>
      </c>
      <c r="E9" s="96" t="s">
        <v>135</v>
      </c>
      <c r="F9" s="95">
        <f>342*10^3</f>
        <v>342000</v>
      </c>
      <c r="G9" s="97" t="s">
        <v>136</v>
      </c>
      <c r="H9" s="96" t="s">
        <v>135</v>
      </c>
      <c r="I9" s="85">
        <v>445</v>
      </c>
      <c r="J9" s="193"/>
      <c r="K9" s="85" t="s">
        <v>137</v>
      </c>
      <c r="L9" s="85">
        <v>0.75</v>
      </c>
    </row>
    <row r="10" spans="1:17" ht="18" customHeight="1" x14ac:dyDescent="0.45">
      <c r="A10" s="94" t="s">
        <v>138</v>
      </c>
      <c r="B10" s="95">
        <v>9300</v>
      </c>
      <c r="C10" s="98" t="s">
        <v>36</v>
      </c>
      <c r="E10" s="96" t="s">
        <v>139</v>
      </c>
      <c r="F10" s="99">
        <f>F7+F8</f>
        <v>308000000</v>
      </c>
      <c r="G10" s="97" t="s">
        <v>123</v>
      </c>
      <c r="J10" s="85" t="s">
        <v>140</v>
      </c>
      <c r="K10" s="85">
        <f>B8*B12</f>
        <v>370200</v>
      </c>
    </row>
    <row r="11" spans="1:17" ht="18" customHeight="1" x14ac:dyDescent="0.45">
      <c r="A11" s="94" t="s">
        <v>141</v>
      </c>
      <c r="B11" s="95">
        <v>40</v>
      </c>
      <c r="C11" s="98" t="s">
        <v>36</v>
      </c>
      <c r="E11" s="96" t="s">
        <v>137</v>
      </c>
      <c r="F11" s="100">
        <v>0.9</v>
      </c>
      <c r="G11" s="97"/>
      <c r="J11" s="85" t="s">
        <v>142</v>
      </c>
      <c r="K11" s="85">
        <v>0</v>
      </c>
    </row>
    <row r="12" spans="1:17" ht="18" customHeight="1" x14ac:dyDescent="0.45">
      <c r="A12" s="101" t="s">
        <v>143</v>
      </c>
      <c r="B12" s="102">
        <f>IF(D12=2,B9-B11-B27-(B20/2)-(2.5*B20/2),B9-B11-B27-(B20/2))</f>
        <v>617</v>
      </c>
      <c r="C12" s="103" t="s">
        <v>36</v>
      </c>
      <c r="D12" s="140">
        <v>2</v>
      </c>
      <c r="E12" s="105" t="s">
        <v>144</v>
      </c>
      <c r="F12" s="106">
        <v>0.75</v>
      </c>
      <c r="G12" s="107"/>
    </row>
    <row r="13" spans="1:17" ht="18" customHeight="1" x14ac:dyDescent="0.45">
      <c r="A13" s="194" t="s">
        <v>43</v>
      </c>
      <c r="B13" s="195"/>
      <c r="C13" s="195"/>
      <c r="D13" s="195"/>
      <c r="E13" s="195" t="s">
        <v>145</v>
      </c>
      <c r="F13" s="195"/>
      <c r="G13" s="196"/>
      <c r="H13" s="99"/>
      <c r="N13" s="99"/>
      <c r="O13" s="99"/>
      <c r="P13" s="99"/>
      <c r="Q13" s="99"/>
    </row>
    <row r="14" spans="1:17" ht="18" customHeight="1" x14ac:dyDescent="0.45">
      <c r="A14" s="108"/>
      <c r="B14" s="99" t="s">
        <v>146</v>
      </c>
      <c r="C14" s="99" t="s">
        <v>147</v>
      </c>
      <c r="F14" s="99" t="s">
        <v>146</v>
      </c>
      <c r="G14" s="109" t="s">
        <v>147</v>
      </c>
      <c r="H14" s="99"/>
      <c r="N14" s="110"/>
      <c r="O14" s="110"/>
      <c r="P14" s="111"/>
    </row>
    <row r="15" spans="1:17" ht="18" customHeight="1" x14ac:dyDescent="0.45">
      <c r="A15" s="94" t="s">
        <v>148</v>
      </c>
      <c r="B15" s="110">
        <f>$F$5/($F$11*B8*$B$12^2)</f>
        <v>2.8603108807685245</v>
      </c>
      <c r="C15" s="110">
        <f>$F$6/($F$11*B8*B12^2)</f>
        <v>1.9360607662344775</v>
      </c>
      <c r="E15" s="96" t="s">
        <v>149</v>
      </c>
      <c r="F15" s="110">
        <f>IF($B$5&lt;30,0.85, IF((0.85-0.008*($B$5-30)&gt;=0.65),0.85-(0.008*($B$5-30)),0.65))</f>
        <v>0.85</v>
      </c>
      <c r="G15" s="112">
        <f>IF($B$5&lt;30,0.85, IF((0.85-0.008*($B$5-30)&gt;=0.65),0.85-(0.008*($B$5-30)),0.65))</f>
        <v>0.85</v>
      </c>
      <c r="H15" s="99"/>
      <c r="N15" s="110"/>
      <c r="O15" s="110"/>
      <c r="P15" s="111"/>
    </row>
    <row r="16" spans="1:17" ht="18" customHeight="1" x14ac:dyDescent="0.45">
      <c r="A16" s="94" t="s">
        <v>150</v>
      </c>
      <c r="B16" s="113">
        <f>0.85*$B$5/$B$6*(1-SQRT(1-(2*B15/(0.85*$B$5))))</f>
        <v>7.7992932102989116E-3</v>
      </c>
      <c r="C16" s="114">
        <f>0.85*$B$5/$B$6*(1-SQRT(1-(2*C15/(0.85*$B$5))))</f>
        <v>5.1685404547361863E-3</v>
      </c>
      <c r="E16" s="96" t="s">
        <v>151</v>
      </c>
      <c r="F16" s="110">
        <f>B22*$B$6/(0.85*$B$5*$B$8)</f>
        <v>80.079812738563362</v>
      </c>
      <c r="G16" s="112">
        <f>C22*$B$6/(0.85*$B$5*$B$8)</f>
        <v>64.063850190850687</v>
      </c>
      <c r="H16" s="99"/>
    </row>
    <row r="17" spans="1:18" ht="18" customHeight="1" x14ac:dyDescent="0.45">
      <c r="A17" s="94" t="s">
        <v>152</v>
      </c>
      <c r="B17" s="113">
        <f>MAX((SQRT($B$5)/(4*$B$6)),(1.4/$B$6))</f>
        <v>3.5897435897435893E-3</v>
      </c>
      <c r="C17" s="114">
        <f>MAX((SQRT($B$5)/(4*$B$6)),(1.4/$B$6))</f>
        <v>3.5897435897435893E-3</v>
      </c>
      <c r="E17" s="96" t="s">
        <v>153</v>
      </c>
      <c r="F17" s="110">
        <f>F16/F15</f>
        <v>94.21154439830984</v>
      </c>
      <c r="G17" s="112">
        <f>G16/G15</f>
        <v>75.369235518647869</v>
      </c>
    </row>
    <row r="18" spans="1:18" ht="18" customHeight="1" x14ac:dyDescent="0.45">
      <c r="A18" s="94" t="s">
        <v>154</v>
      </c>
      <c r="B18" s="113">
        <f>MAX(B16:B17)</f>
        <v>7.7992932102989116E-3</v>
      </c>
      <c r="C18" s="114">
        <f>MAX(C16:C17)</f>
        <v>5.1685404547361863E-3</v>
      </c>
      <c r="E18" s="96" t="s">
        <v>155</v>
      </c>
      <c r="F18" s="115">
        <f>0.003*($B$12-F17)/F17</f>
        <v>1.6647273715992783E-2</v>
      </c>
      <c r="G18" s="116">
        <f>0.003*($B$12-G17)/G17</f>
        <v>2.1559092144990979E-2</v>
      </c>
    </row>
    <row r="19" spans="1:18" ht="18" customHeight="1" x14ac:dyDescent="0.45">
      <c r="A19" s="94" t="s">
        <v>156</v>
      </c>
      <c r="B19" s="110">
        <f>$K$10*B18</f>
        <v>2887.2983464526569</v>
      </c>
      <c r="C19" s="117">
        <f>$K$10*C18</f>
        <v>1913.3936763433362</v>
      </c>
      <c r="E19" s="96" t="s">
        <v>157</v>
      </c>
      <c r="F19" s="118">
        <f>B22*$B$6*($B$12-F16/2)</f>
        <v>706903700.71025026</v>
      </c>
      <c r="G19" s="119">
        <f>C22*$B$6*($B$12-G16/2)</f>
        <v>573372198.89189005</v>
      </c>
      <c r="H19" s="99"/>
      <c r="I19" s="99" t="s">
        <v>158</v>
      </c>
      <c r="J19" s="99" t="s">
        <v>159</v>
      </c>
      <c r="K19" s="99" t="s">
        <v>160</v>
      </c>
    </row>
    <row r="20" spans="1:18" ht="18" customHeight="1" x14ac:dyDescent="0.45">
      <c r="A20" s="94" t="s">
        <v>161</v>
      </c>
      <c r="B20" s="95">
        <v>20</v>
      </c>
      <c r="C20" s="95">
        <v>20</v>
      </c>
      <c r="E20" s="96" t="s">
        <v>162</v>
      </c>
      <c r="F20" s="118">
        <f>$F$11*F19</f>
        <v>636213330.63922524</v>
      </c>
      <c r="G20" s="119">
        <f>$F$11*G19</f>
        <v>516034979.00270104</v>
      </c>
      <c r="H20" s="99" t="s">
        <v>163</v>
      </c>
      <c r="I20" s="99">
        <v>45</v>
      </c>
      <c r="J20" s="99">
        <v>65</v>
      </c>
      <c r="K20" s="99">
        <v>85</v>
      </c>
    </row>
    <row r="21" spans="1:18" ht="18" customHeight="1" x14ac:dyDescent="0.45">
      <c r="A21" s="94" t="s">
        <v>164</v>
      </c>
      <c r="B21" s="95">
        <v>10</v>
      </c>
      <c r="C21" s="95">
        <v>8</v>
      </c>
      <c r="E21" s="96" t="s">
        <v>76</v>
      </c>
      <c r="F21" s="120">
        <f>F20/F5</f>
        <v>1.0819954602707913</v>
      </c>
      <c r="G21" s="121">
        <f>G20/F6</f>
        <v>1.2965702990017614</v>
      </c>
      <c r="H21" s="99" t="s">
        <v>165</v>
      </c>
      <c r="I21" s="99">
        <v>30</v>
      </c>
      <c r="J21" s="99">
        <v>45</v>
      </c>
      <c r="K21" s="99"/>
    </row>
    <row r="22" spans="1:18" ht="18" customHeight="1" x14ac:dyDescent="0.45">
      <c r="A22" s="101" t="s">
        <v>166</v>
      </c>
      <c r="B22" s="122">
        <f>B20^2*PI()/4*B21</f>
        <v>3141.5926535897934</v>
      </c>
      <c r="C22" s="123">
        <f>C20^2*PI()/4*C21</f>
        <v>2513.2741228718346</v>
      </c>
      <c r="D22" s="104"/>
      <c r="E22" s="104"/>
      <c r="F22" s="124" t="str">
        <f>IF(F21&gt;1,"OK","NO")</f>
        <v>OK</v>
      </c>
      <c r="G22" s="125" t="str">
        <f>IF(G21&gt;1,"OK","NO")</f>
        <v>OK</v>
      </c>
      <c r="H22" s="99"/>
    </row>
    <row r="23" spans="1:18" ht="18" customHeight="1" x14ac:dyDescent="0.45">
      <c r="A23" s="197" t="s">
        <v>167</v>
      </c>
      <c r="B23" s="198"/>
      <c r="C23" s="198"/>
      <c r="D23" s="90"/>
      <c r="E23" s="90"/>
      <c r="F23" s="126"/>
      <c r="G23" s="92"/>
    </row>
    <row r="24" spans="1:18" ht="18" customHeight="1" x14ac:dyDescent="0.45">
      <c r="A24" s="94" t="s">
        <v>168</v>
      </c>
      <c r="B24" s="110">
        <f>F12*0.17*SQRT(B5)*B8*B12</f>
        <v>258527.78575522592</v>
      </c>
      <c r="C24" s="85" t="s">
        <v>136</v>
      </c>
      <c r="E24" s="96" t="s">
        <v>169</v>
      </c>
      <c r="F24" s="99">
        <f>F9</f>
        <v>342000</v>
      </c>
      <c r="G24" s="97"/>
      <c r="Q24" s="100"/>
    </row>
    <row r="25" spans="1:18" ht="18" customHeight="1" x14ac:dyDescent="0.45">
      <c r="A25" s="94" t="s">
        <v>170</v>
      </c>
      <c r="B25" s="110">
        <f>B24/2</f>
        <v>129263.89287761296</v>
      </c>
      <c r="C25" s="85" t="s">
        <v>136</v>
      </c>
      <c r="D25" s="99" t="str">
        <f>IF(B25&gt;F24,"&gt;","&lt;")</f>
        <v>&lt;</v>
      </c>
      <c r="E25" s="99" t="s">
        <v>171</v>
      </c>
      <c r="F25" s="98" t="str">
        <f>IF(B25&gt;F24,"Shear rein. Is not Required","Shear reinf. Required")</f>
        <v>Shear reinf. Required</v>
      </c>
      <c r="G25" s="97"/>
    </row>
    <row r="26" spans="1:18" ht="18" customHeight="1" x14ac:dyDescent="0.45">
      <c r="A26" s="94" t="s">
        <v>172</v>
      </c>
      <c r="B26" s="110">
        <f>IF(F24&gt;B24,F24-B24, "N/A")</f>
        <v>83472.214244774077</v>
      </c>
      <c r="C26" s="85" t="s">
        <v>136</v>
      </c>
      <c r="D26" s="190"/>
      <c r="E26" s="190"/>
      <c r="G26" s="112"/>
    </row>
    <row r="27" spans="1:18" ht="18" customHeight="1" x14ac:dyDescent="0.45">
      <c r="A27" s="94" t="s">
        <v>173</v>
      </c>
      <c r="B27" s="99">
        <v>8</v>
      </c>
      <c r="C27" s="85" t="s">
        <v>36</v>
      </c>
      <c r="G27" s="97"/>
    </row>
    <row r="28" spans="1:18" ht="18" customHeight="1" x14ac:dyDescent="0.45">
      <c r="A28" s="94" t="s">
        <v>174</v>
      </c>
      <c r="B28" s="111">
        <f>5*B27^2*PI()/4</f>
        <v>251.32741228718345</v>
      </c>
      <c r="C28" s="85" t="s">
        <v>175</v>
      </c>
      <c r="E28" s="96" t="s">
        <v>176</v>
      </c>
      <c r="F28" s="111">
        <f>MIN((B28*B7/(B8*0.062*SQRT(B5))),(B28*B7/(0.345*B8)),B12/2,600)</f>
        <v>267.11125943565395</v>
      </c>
      <c r="G28" s="97" t="s">
        <v>36</v>
      </c>
      <c r="Q28" s="127"/>
      <c r="R28" s="127"/>
    </row>
    <row r="29" spans="1:18" ht="18" customHeight="1" x14ac:dyDescent="0.45">
      <c r="A29" s="101" t="s">
        <v>177</v>
      </c>
      <c r="B29" s="128">
        <f>IF(F24&gt;B24,F12*$B$7*B28*B12/B26,"N/A")</f>
        <v>306.52579950577496</v>
      </c>
      <c r="C29" s="104" t="s">
        <v>36</v>
      </c>
      <c r="D29" s="104"/>
      <c r="E29" s="105" t="s">
        <v>178</v>
      </c>
      <c r="F29" s="128">
        <f>MIN(B29,F28)</f>
        <v>267.11125943565395</v>
      </c>
      <c r="G29" s="107" t="s">
        <v>36</v>
      </c>
      <c r="Q29" s="127"/>
    </row>
    <row r="30" spans="1:18" ht="18" customHeight="1" x14ac:dyDescent="0.45">
      <c r="A30" s="129" t="s">
        <v>179</v>
      </c>
      <c r="B30" s="126"/>
      <c r="C30" s="90"/>
      <c r="D30" s="90"/>
      <c r="E30" s="91"/>
      <c r="F30" s="126"/>
      <c r="G30" s="92"/>
      <c r="I30" s="99"/>
      <c r="Q30" s="127"/>
    </row>
    <row r="31" spans="1:18" ht="18" customHeight="1" x14ac:dyDescent="0.45">
      <c r="A31" s="94" t="s">
        <v>180</v>
      </c>
      <c r="B31" s="99">
        <v>200000</v>
      </c>
      <c r="C31" s="85" t="s">
        <v>5</v>
      </c>
      <c r="E31" s="96" t="s">
        <v>181</v>
      </c>
      <c r="F31" s="110">
        <f>4700*SQRT($B$5)</f>
        <v>25742.960202742808</v>
      </c>
      <c r="G31" s="97" t="s">
        <v>5</v>
      </c>
    </row>
    <row r="32" spans="1:18" ht="18" customHeight="1" x14ac:dyDescent="0.45">
      <c r="A32" s="94" t="s">
        <v>80</v>
      </c>
      <c r="B32" s="118">
        <f>1/12*$B$8*$B$12^3</f>
        <v>11744255650</v>
      </c>
      <c r="C32" s="85" t="s">
        <v>182</v>
      </c>
      <c r="E32" s="96" t="s">
        <v>83</v>
      </c>
      <c r="F32" s="110">
        <f>0.62*SQRT($B$5)</f>
        <v>3.3958798565320301</v>
      </c>
      <c r="G32" s="97"/>
    </row>
    <row r="33" spans="1:7" ht="18" customHeight="1" x14ac:dyDescent="0.45">
      <c r="A33" s="94" t="s">
        <v>85</v>
      </c>
      <c r="B33" s="110">
        <f>$B$9/2</f>
        <v>350</v>
      </c>
      <c r="C33" s="85" t="s">
        <v>36</v>
      </c>
      <c r="E33" s="96" t="s">
        <v>90</v>
      </c>
      <c r="F33" s="110">
        <f>B31/F31</f>
        <v>7.7691142908534196</v>
      </c>
      <c r="G33" s="97"/>
    </row>
    <row r="34" spans="1:7" ht="18" customHeight="1" x14ac:dyDescent="0.45">
      <c r="A34" s="94" t="s">
        <v>87</v>
      </c>
      <c r="B34" s="118">
        <f>F32*B32/B33</f>
        <v>113948803.40513568</v>
      </c>
      <c r="C34" s="85" t="s">
        <v>123</v>
      </c>
      <c r="E34" s="96" t="s">
        <v>183</v>
      </c>
      <c r="F34" s="99">
        <v>2</v>
      </c>
      <c r="G34" s="97"/>
    </row>
    <row r="35" spans="1:7" ht="18" customHeight="1" x14ac:dyDescent="0.45">
      <c r="A35" s="94" t="s">
        <v>184</v>
      </c>
      <c r="B35" s="110">
        <f>(-F33*C22+SQRT((F33*C22)^2+2*F33*B8*B12*C22))/B8</f>
        <v>170.47738908924572</v>
      </c>
      <c r="C35" s="85" t="s">
        <v>36</v>
      </c>
      <c r="E35" s="96" t="s">
        <v>185</v>
      </c>
      <c r="F35" s="99">
        <f>L8/(1+50*$K$11)</f>
        <v>1.8</v>
      </c>
      <c r="G35" s="97"/>
    </row>
    <row r="36" spans="1:7" ht="18" customHeight="1" x14ac:dyDescent="0.45">
      <c r="A36" s="94" t="s">
        <v>94</v>
      </c>
      <c r="B36" s="118">
        <f>($B$8*B35^3/3)+($F$33*C22*($B$12-B35)^2)</f>
        <v>4884025592.0950489</v>
      </c>
      <c r="C36" s="85" t="s">
        <v>182</v>
      </c>
      <c r="E36" s="127"/>
      <c r="G36" s="97"/>
    </row>
    <row r="37" spans="1:7" ht="18" customHeight="1" x14ac:dyDescent="0.45">
      <c r="A37" s="189" t="s">
        <v>186</v>
      </c>
      <c r="B37" s="190"/>
      <c r="C37" s="99" t="s">
        <v>187</v>
      </c>
      <c r="D37" s="99" t="s">
        <v>188</v>
      </c>
      <c r="E37" s="99" t="s">
        <v>189</v>
      </c>
      <c r="F37" s="99" t="s">
        <v>190</v>
      </c>
      <c r="G37" s="109" t="s">
        <v>191</v>
      </c>
    </row>
    <row r="38" spans="1:7" ht="18" customHeight="1" x14ac:dyDescent="0.45">
      <c r="A38" s="189" t="s">
        <v>192</v>
      </c>
      <c r="B38" s="190"/>
      <c r="C38" s="118">
        <f>B34/F7</f>
        <v>0.48079663884023494</v>
      </c>
      <c r="D38" s="118">
        <f>$B$34/F10</f>
        <v>0.36996364741927168</v>
      </c>
      <c r="E38" s="118">
        <f>B34/F8</f>
        <v>1.6049127240159955</v>
      </c>
      <c r="F38" s="118">
        <f>B34/(F7+0.5*F8)</f>
        <v>0.41816074644086487</v>
      </c>
      <c r="G38" s="119">
        <f>MAX($B$34,($F$7+0.5*$F$8))</f>
        <v>272500000</v>
      </c>
    </row>
    <row r="39" spans="1:7" ht="18" customHeight="1" x14ac:dyDescent="0.45">
      <c r="A39" s="189" t="s">
        <v>193</v>
      </c>
      <c r="B39" s="190"/>
      <c r="C39" s="118">
        <f>C38^3*$B$32+(1-C38^3)*$B$36</f>
        <v>5646495922.396101</v>
      </c>
      <c r="D39" s="118">
        <f>D38^3*$B$32+(1-D38^3)*$B$36</f>
        <v>5231414412.0124722</v>
      </c>
      <c r="E39" s="118">
        <f>$B$32*($B$34/E38)^3+(1-($B$34/E38)^3)*$B$36</f>
        <v>2.4553518002548184E+33</v>
      </c>
      <c r="F39" s="118">
        <f>$B$32*($B$34/F38)^3+(1-($B$34/F38)^3)*$B$36</f>
        <v>1.388155761196655E+35</v>
      </c>
      <c r="G39" s="119">
        <f>$B$32*($B$34/G38)^3+(1-($B$34/G38)^3)*$B$36</f>
        <v>5385638226.7659998</v>
      </c>
    </row>
    <row r="40" spans="1:7" ht="18" customHeight="1" x14ac:dyDescent="0.45">
      <c r="A40" s="189" t="s">
        <v>194</v>
      </c>
      <c r="B40" s="190"/>
      <c r="C40" s="110">
        <f>(5/48)*$F$7*$B$10^2/($F$31*$C$39)</f>
        <v>14.689449006248333</v>
      </c>
      <c r="D40" s="110">
        <f>(5/48)*$F$10*$B$10^2/($F$31*$C$39)</f>
        <v>19.090085628373362</v>
      </c>
      <c r="E40" s="110">
        <f>D40-C40</f>
        <v>4.4006366221250293</v>
      </c>
      <c r="F40" s="110">
        <f>(5/48)*(F7+0.5*F8)*$B$10^2/($F$31*$C$39)</f>
        <v>16.889767317310849</v>
      </c>
      <c r="G40" s="112">
        <f>F40-C40</f>
        <v>2.2003183110625155</v>
      </c>
    </row>
    <row r="41" spans="1:7" ht="18" customHeight="1" x14ac:dyDescent="0.45">
      <c r="A41" s="94" t="s">
        <v>195</v>
      </c>
      <c r="B41" s="110">
        <f>E40+(C40*F34)+(G40*F35)</f>
        <v>37.740107594534223</v>
      </c>
      <c r="C41" s="85" t="s">
        <v>36</v>
      </c>
      <c r="D41" s="191" t="str">
        <f>IF(B42&gt;B41,"OK","NO")</f>
        <v>OK</v>
      </c>
      <c r="G41" s="97"/>
    </row>
    <row r="42" spans="1:7" ht="18" customHeight="1" thickBot="1" x14ac:dyDescent="0.5">
      <c r="A42" s="130" t="s">
        <v>196</v>
      </c>
      <c r="B42" s="131">
        <f>$B$10/240</f>
        <v>38.75</v>
      </c>
      <c r="C42" s="132" t="s">
        <v>36</v>
      </c>
      <c r="D42" s="192"/>
      <c r="E42" s="132"/>
      <c r="F42" s="133"/>
      <c r="G42" s="134"/>
    </row>
    <row r="43" spans="1:7" ht="18" customHeight="1" x14ac:dyDescent="0.45">
      <c r="C43" s="99"/>
      <c r="D43" s="110"/>
      <c r="E43" s="110"/>
    </row>
    <row r="50" spans="1:3" ht="18" customHeight="1" x14ac:dyDescent="0.35">
      <c r="A50" s="135"/>
      <c r="B50" s="136"/>
      <c r="C50" s="135"/>
    </row>
    <row r="51" spans="1:3" ht="18" customHeight="1" x14ac:dyDescent="0.35">
      <c r="A51" s="135"/>
      <c r="B51" s="136"/>
      <c r="C51" s="135"/>
    </row>
  </sheetData>
  <mergeCells count="16">
    <mergeCell ref="A38:B38"/>
    <mergeCell ref="A39:B39"/>
    <mergeCell ref="A40:B40"/>
    <mergeCell ref="D41:D42"/>
    <mergeCell ref="J6:J9"/>
    <mergeCell ref="A13:D13"/>
    <mergeCell ref="E13:G13"/>
    <mergeCell ref="A23:C23"/>
    <mergeCell ref="D26:E26"/>
    <mergeCell ref="A37:B37"/>
    <mergeCell ref="A1:D1"/>
    <mergeCell ref="E1:F2"/>
    <mergeCell ref="B2:D2"/>
    <mergeCell ref="A3:G3"/>
    <mergeCell ref="A4:D4"/>
    <mergeCell ref="E4:G4"/>
  </mergeCells>
  <printOptions horizontalCentered="1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83</vt:i4>
      </vt:variant>
      <vt:variant>
        <vt:lpstr>Named Ranges</vt:lpstr>
      </vt:variant>
      <vt:variant>
        <vt:i4>75</vt:i4>
      </vt:variant>
    </vt:vector>
  </HeadingPairs>
  <TitlesOfParts>
    <vt:vector size="158" baseType="lpstr">
      <vt:lpstr>1st-Slab</vt:lpstr>
      <vt:lpstr>1st-Slab (1)</vt:lpstr>
      <vt:lpstr>B-101</vt:lpstr>
      <vt:lpstr>B-101a</vt:lpstr>
      <vt:lpstr>B-101b</vt:lpstr>
      <vt:lpstr>B-101c</vt:lpstr>
      <vt:lpstr>B-101d</vt:lpstr>
      <vt:lpstr>B-102</vt:lpstr>
      <vt:lpstr>B-102a</vt:lpstr>
      <vt:lpstr>B-102b</vt:lpstr>
      <vt:lpstr>B-102c</vt:lpstr>
      <vt:lpstr>B-103</vt:lpstr>
      <vt:lpstr>B-104</vt:lpstr>
      <vt:lpstr>2nd-Slab</vt:lpstr>
      <vt:lpstr>B-201</vt:lpstr>
      <vt:lpstr>B-202!</vt:lpstr>
      <vt:lpstr>B-202</vt:lpstr>
      <vt:lpstr>B-202a</vt:lpstr>
      <vt:lpstr>Sheet1</vt:lpstr>
      <vt:lpstr>B-202d</vt:lpstr>
      <vt:lpstr>B-202b</vt:lpstr>
      <vt:lpstr>B-202c</vt:lpstr>
      <vt:lpstr>B-202d </vt:lpstr>
      <vt:lpstr>B-203</vt:lpstr>
      <vt:lpstr>B-203a</vt:lpstr>
      <vt:lpstr>B-204</vt:lpstr>
      <vt:lpstr>B-204a</vt:lpstr>
      <vt:lpstr>B-205</vt:lpstr>
      <vt:lpstr>B-205a</vt:lpstr>
      <vt:lpstr>3rd-Slab</vt:lpstr>
      <vt:lpstr>B-206</vt:lpstr>
      <vt:lpstr>B-302</vt:lpstr>
      <vt:lpstr>B-302a</vt:lpstr>
      <vt:lpstr>B-302b</vt:lpstr>
      <vt:lpstr>B-303</vt:lpstr>
      <vt:lpstr>B-303a</vt:lpstr>
      <vt:lpstr>B-303a-1</vt:lpstr>
      <vt:lpstr>B-303b</vt:lpstr>
      <vt:lpstr>B-303c</vt:lpstr>
      <vt:lpstr>B-303c </vt:lpstr>
      <vt:lpstr>B-303d</vt:lpstr>
      <vt:lpstr>B-303e</vt:lpstr>
      <vt:lpstr>B-304</vt:lpstr>
      <vt:lpstr>B-304a</vt:lpstr>
      <vt:lpstr>B-305</vt:lpstr>
      <vt:lpstr>4th-Slab</vt:lpstr>
      <vt:lpstr>B-402</vt:lpstr>
      <vt:lpstr>B-402a</vt:lpstr>
      <vt:lpstr>B-402a </vt:lpstr>
      <vt:lpstr>B-402b</vt:lpstr>
      <vt:lpstr>B-403</vt:lpstr>
      <vt:lpstr>B-403 </vt:lpstr>
      <vt:lpstr> B-403a</vt:lpstr>
      <vt:lpstr>B-403b</vt:lpstr>
      <vt:lpstr>B-403a-1</vt:lpstr>
      <vt:lpstr>B-403c</vt:lpstr>
      <vt:lpstr>B-403d</vt:lpstr>
      <vt:lpstr>B-404</vt:lpstr>
      <vt:lpstr>B-404a</vt:lpstr>
      <vt:lpstr>B-404a (L=4m)</vt:lpstr>
      <vt:lpstr>B-404a -1</vt:lpstr>
      <vt:lpstr>B-404a -1 (L=4m)</vt:lpstr>
      <vt:lpstr>B-404b</vt:lpstr>
      <vt:lpstr>B-405</vt:lpstr>
      <vt:lpstr>B-405a</vt:lpstr>
      <vt:lpstr>5th-Slab-OP1</vt:lpstr>
      <vt:lpstr>5th-Slab-OP2</vt:lpstr>
      <vt:lpstr>B-502</vt:lpstr>
      <vt:lpstr>B-502 </vt:lpstr>
      <vt:lpstr>B-502a</vt:lpstr>
      <vt:lpstr>B-502b</vt:lpstr>
      <vt:lpstr>B-502c</vt:lpstr>
      <vt:lpstr>B-503</vt:lpstr>
      <vt:lpstr>B-503a</vt:lpstr>
      <vt:lpstr>B-503b</vt:lpstr>
      <vt:lpstr>B-503c</vt:lpstr>
      <vt:lpstr>B-503d</vt:lpstr>
      <vt:lpstr>B-503e</vt:lpstr>
      <vt:lpstr>B-504</vt:lpstr>
      <vt:lpstr>B-504a</vt:lpstr>
      <vt:lpstr>B-504b</vt:lpstr>
      <vt:lpstr>B-504b (2)</vt:lpstr>
      <vt:lpstr>B-504b (3)</vt:lpstr>
      <vt:lpstr>' B-403a'!Moment</vt:lpstr>
      <vt:lpstr>'B-101'!Moment</vt:lpstr>
      <vt:lpstr>'B-101a'!Moment</vt:lpstr>
      <vt:lpstr>'B-101b'!Moment</vt:lpstr>
      <vt:lpstr>'B-101c'!Moment</vt:lpstr>
      <vt:lpstr>'B-101d'!Moment</vt:lpstr>
      <vt:lpstr>'B-102'!Moment</vt:lpstr>
      <vt:lpstr>'B-102a'!Moment</vt:lpstr>
      <vt:lpstr>'B-102b'!Moment</vt:lpstr>
      <vt:lpstr>'B-102c'!Moment</vt:lpstr>
      <vt:lpstr>'B-103'!Moment</vt:lpstr>
      <vt:lpstr>'B-104'!Moment</vt:lpstr>
      <vt:lpstr>'B-201'!Moment</vt:lpstr>
      <vt:lpstr>'B-202'!Moment</vt:lpstr>
      <vt:lpstr>'B-202!'!Moment</vt:lpstr>
      <vt:lpstr>'B-202a'!Moment</vt:lpstr>
      <vt:lpstr>'B-202b'!Moment</vt:lpstr>
      <vt:lpstr>'B-202c'!Moment</vt:lpstr>
      <vt:lpstr>'B-202d'!Moment</vt:lpstr>
      <vt:lpstr>'B-202d '!Moment</vt:lpstr>
      <vt:lpstr>'B-203'!Moment</vt:lpstr>
      <vt:lpstr>'B-203a'!Moment</vt:lpstr>
      <vt:lpstr>'B-204'!Moment</vt:lpstr>
      <vt:lpstr>'B-204a'!Moment</vt:lpstr>
      <vt:lpstr>'B-205'!Moment</vt:lpstr>
      <vt:lpstr>'B-205a'!Moment</vt:lpstr>
      <vt:lpstr>'B-206'!Moment</vt:lpstr>
      <vt:lpstr>'B-302'!Moment</vt:lpstr>
      <vt:lpstr>'B-302a'!Moment</vt:lpstr>
      <vt:lpstr>'B-302b'!Moment</vt:lpstr>
      <vt:lpstr>'B-303'!Moment</vt:lpstr>
      <vt:lpstr>'B-303a'!Moment</vt:lpstr>
      <vt:lpstr>'B-303a-1'!Moment</vt:lpstr>
      <vt:lpstr>'B-303b'!Moment</vt:lpstr>
      <vt:lpstr>'B-303c'!Moment</vt:lpstr>
      <vt:lpstr>'B-303c '!Moment</vt:lpstr>
      <vt:lpstr>'B-303d'!Moment</vt:lpstr>
      <vt:lpstr>'B-303e'!Moment</vt:lpstr>
      <vt:lpstr>'B-304'!Moment</vt:lpstr>
      <vt:lpstr>'B-304a'!Moment</vt:lpstr>
      <vt:lpstr>'B-305'!Moment</vt:lpstr>
      <vt:lpstr>'B-402'!Moment</vt:lpstr>
      <vt:lpstr>'B-402a'!Moment</vt:lpstr>
      <vt:lpstr>'B-402a '!Moment</vt:lpstr>
      <vt:lpstr>'B-402b'!Moment</vt:lpstr>
      <vt:lpstr>'B-403'!Moment</vt:lpstr>
      <vt:lpstr>'B-403 '!Moment</vt:lpstr>
      <vt:lpstr>'B-403a-1'!Moment</vt:lpstr>
      <vt:lpstr>'B-403b'!Moment</vt:lpstr>
      <vt:lpstr>'B-403c'!Moment</vt:lpstr>
      <vt:lpstr>'B-403d'!Moment</vt:lpstr>
      <vt:lpstr>'B-404'!Moment</vt:lpstr>
      <vt:lpstr>'B-404a'!Moment</vt:lpstr>
      <vt:lpstr>'B-404a (L=4m)'!Moment</vt:lpstr>
      <vt:lpstr>'B-404a -1'!Moment</vt:lpstr>
      <vt:lpstr>'B-404a -1 (L=4m)'!Moment</vt:lpstr>
      <vt:lpstr>'B-404b'!Moment</vt:lpstr>
      <vt:lpstr>'B-405'!Moment</vt:lpstr>
      <vt:lpstr>'B-405a'!Moment</vt:lpstr>
      <vt:lpstr>'B-502'!Moment</vt:lpstr>
      <vt:lpstr>'B-502 '!Moment</vt:lpstr>
      <vt:lpstr>'B-502a'!Moment</vt:lpstr>
      <vt:lpstr>'B-502b'!Moment</vt:lpstr>
      <vt:lpstr>'B-502c'!Moment</vt:lpstr>
      <vt:lpstr>'B-503'!Moment</vt:lpstr>
      <vt:lpstr>'B-503a'!Moment</vt:lpstr>
      <vt:lpstr>'B-503b'!Moment</vt:lpstr>
      <vt:lpstr>'B-503c'!Moment</vt:lpstr>
      <vt:lpstr>'B-503d'!Moment</vt:lpstr>
      <vt:lpstr>'B-503e'!Moment</vt:lpstr>
      <vt:lpstr>'B-504'!Moment</vt:lpstr>
      <vt:lpstr>'B-504a'!Moment</vt:lpstr>
      <vt:lpstr>'B-504b'!Moment</vt:lpstr>
      <vt:lpstr>'B-504b (2)'!Moment</vt:lpstr>
      <vt:lpstr>'B-504b (3)'!Moment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Illidan</dc:creator>
  <cp:lastModifiedBy>ADMIN</cp:lastModifiedBy>
  <cp:lastPrinted>2019-03-28T07:40:46Z</cp:lastPrinted>
  <dcterms:created xsi:type="dcterms:W3CDTF">2019-01-28T01:37:47Z</dcterms:created>
  <dcterms:modified xsi:type="dcterms:W3CDTF">2024-05-27T10:08:00Z</dcterms:modified>
</cp:coreProperties>
</file>